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Mapa" sheetId="2" r:id="rId1"/>
    <sheet name="Dades" sheetId="3" r:id="rId2"/>
    <sheet name="Capitals" sheetId="4" r:id="rId3"/>
  </sheets>
  <definedNames>
    <definedName name="Ademús">Mapa!$CD$51</definedName>
    <definedName name="Aiora">Mapa!$CD$65</definedName>
    <definedName name="Alacant">Mapa!$CD$3</definedName>
    <definedName name="Albocàsser">Mapa!$CD$9</definedName>
    <definedName name="Alcoi">Mapa!$CD$5</definedName>
    <definedName name="Alcorà">Mapa!$CD$7</definedName>
    <definedName name="Alzira">Mapa!$CD$53</definedName>
    <definedName name="Borriana">Mapa!$CD$47</definedName>
    <definedName name="Castelló">Mapa!$CD$45</definedName>
    <definedName name="Catarroja">Mapa!$CD$37</definedName>
    <definedName name="Cirat">Mapa!$CD$11</definedName>
    <definedName name="Cocetaina">Mapa!$CD$29</definedName>
    <definedName name="Dènia">Mapa!$CD$39</definedName>
    <definedName name="Elda">Mapa!$CD$67</definedName>
    <definedName name="Elx">Mapa!$CD$21</definedName>
    <definedName name="Gandia">Mapa!$CD$59</definedName>
    <definedName name="LA_CANAL_NAVARRÉS">Mapa!$M$52</definedName>
    <definedName name="LACANALNAVARRÉS">Mapa!$M$48</definedName>
    <definedName name="Llíria">Mapa!$CD$25</definedName>
    <definedName name="Morella">Mapa!$CD$43</definedName>
    <definedName name="Ontinyent">Mapa!$CD$63</definedName>
    <definedName name="Oriola">Mapa!$CD$19</definedName>
    <definedName name="Puçol">Mapa!$CD$35</definedName>
    <definedName name="Requena">Mapa!$CD$49</definedName>
    <definedName name="Sagunt">Mapa!$CD$23</definedName>
    <definedName name="Sogorb">Mapa!$CD$13</definedName>
    <definedName name="Sueca">Mapa!$CD$55</definedName>
    <definedName name="Torrent">Mapa!$CD$69</definedName>
    <definedName name="Valen">Mapa!$CD$61</definedName>
    <definedName name="VilaJoiosa">Mapa!$CD$41</definedName>
    <definedName name="Villena">Mapa!$CD$15</definedName>
    <definedName name="Vinaròs">Mapa!$CD$17</definedName>
    <definedName name="Xàtiva">Mapa!$CD$31</definedName>
    <definedName name="Xelva">Mapa!$CD$57</definedName>
    <definedName name="Xiva">Mapa!$CD$33</definedName>
  </definedNames>
  <calcPr calcId="125725"/>
</workbook>
</file>

<file path=xl/calcChain.xml><?xml version="1.0" encoding="utf-8"?>
<calcChain xmlns="http://schemas.openxmlformats.org/spreadsheetml/2006/main">
  <c r="BR34" i="2"/>
  <c r="BR20"/>
  <c r="BC20"/>
  <c r="BC34"/>
  <c r="BC28"/>
  <c r="BC32"/>
  <c r="T53"/>
  <c r="S52"/>
  <c r="F25"/>
  <c r="E25"/>
  <c r="BR36"/>
  <c r="BR31"/>
  <c r="BC40"/>
  <c r="G48"/>
  <c r="BC36"/>
  <c r="C2" i="4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BR46" i="2"/>
  <c r="BR45"/>
  <c r="BR44"/>
  <c r="BR43"/>
  <c r="BR42"/>
  <c r="BR41"/>
  <c r="BR40"/>
  <c r="BR39"/>
  <c r="BR38"/>
  <c r="BR37"/>
  <c r="BR35"/>
  <c r="BR33"/>
  <c r="BR32"/>
  <c r="BR30"/>
  <c r="BR29"/>
  <c r="BR28"/>
  <c r="BR27"/>
  <c r="BR26"/>
  <c r="BR25"/>
  <c r="BR24"/>
  <c r="BR22"/>
  <c r="BR21"/>
  <c r="BR19"/>
  <c r="BR18"/>
  <c r="BR17"/>
  <c r="BR16"/>
  <c r="BR15"/>
  <c r="BR13"/>
  <c r="BR14"/>
  <c r="BR12"/>
  <c r="BR23"/>
  <c r="P77"/>
  <c r="AA64"/>
  <c r="R41"/>
  <c r="P41"/>
  <c r="Z46"/>
  <c r="W46"/>
  <c r="W36"/>
  <c r="O54"/>
  <c r="T29"/>
  <c r="W31"/>
  <c r="BU4"/>
  <c r="BU5" s="1"/>
  <c r="BU6" s="1"/>
  <c r="BU7" s="1"/>
  <c r="BU8" s="1"/>
  <c r="BU9" s="1"/>
  <c r="BU10" s="1"/>
  <c r="BU11" s="1"/>
  <c r="BU12" s="1"/>
  <c r="BU13" s="1"/>
  <c r="BU14" s="1"/>
  <c r="BU15" s="1"/>
  <c r="BU16" s="1"/>
  <c r="BU17" s="1"/>
  <c r="BU18" s="1"/>
  <c r="BU19" s="1"/>
  <c r="BU20" s="1"/>
  <c r="BU21" s="1"/>
  <c r="BU22" s="1"/>
  <c r="BU23" s="1"/>
  <c r="BU24" s="1"/>
  <c r="BU25" s="1"/>
  <c r="BU26" s="1"/>
  <c r="BU27" s="1"/>
  <c r="BU28" s="1"/>
  <c r="BU29" s="1"/>
  <c r="BU30" s="1"/>
  <c r="BU31" s="1"/>
  <c r="BU32" s="1"/>
  <c r="BU33" s="1"/>
  <c r="BU34" s="1"/>
  <c r="BU35" s="1"/>
  <c r="BC17"/>
  <c r="BQ36"/>
  <c r="T57"/>
  <c r="S56"/>
  <c r="BC29"/>
  <c r="BQ29" s="1"/>
  <c r="BC26"/>
  <c r="BQ26" s="1"/>
  <c r="BC24"/>
  <c r="BQ24" s="1"/>
  <c r="U38"/>
  <c r="U36"/>
  <c r="V37"/>
  <c r="U39"/>
  <c r="W39"/>
  <c r="Z39"/>
  <c r="Z36"/>
  <c r="W32"/>
  <c r="AA53"/>
  <c r="AD53"/>
  <c r="Q45"/>
  <c r="V48"/>
  <c r="T48"/>
  <c r="I39"/>
  <c r="F39"/>
  <c r="J48"/>
  <c r="H45"/>
  <c r="P55"/>
  <c r="V61"/>
  <c r="U61"/>
  <c r="O63"/>
  <c r="O62"/>
  <c r="M68"/>
  <c r="O66"/>
  <c r="N66"/>
  <c r="R69"/>
  <c r="Q72"/>
  <c r="Q69"/>
  <c r="O77"/>
  <c r="U67"/>
  <c r="W67"/>
  <c r="AB65"/>
  <c r="AB56"/>
  <c r="AF58"/>
  <c r="AH57"/>
  <c r="Q34"/>
  <c r="R35"/>
  <c r="AB29"/>
  <c r="AE29"/>
  <c r="L32"/>
  <c r="L33"/>
  <c r="U30"/>
  <c r="U23"/>
  <c r="U24"/>
  <c r="AA20"/>
  <c r="AB22"/>
  <c r="AE23"/>
  <c r="AG27"/>
  <c r="AC16"/>
  <c r="AF17"/>
  <c r="AK13"/>
  <c r="AI9"/>
  <c r="AN13"/>
  <c r="AC9"/>
  <c r="AA9"/>
  <c r="BR48" l="1"/>
  <c r="BH24"/>
  <c r="BC12"/>
  <c r="BC46"/>
  <c r="BQ46" s="1"/>
  <c r="BC45"/>
  <c r="BQ45" s="1"/>
  <c r="BC44"/>
  <c r="BQ44" s="1"/>
  <c r="BC43"/>
  <c r="BQ43" s="1"/>
  <c r="BC42"/>
  <c r="BQ42" s="1"/>
  <c r="BC41"/>
  <c r="BQ41" s="1"/>
  <c r="BQ40"/>
  <c r="BC39"/>
  <c r="BC38"/>
  <c r="BC37"/>
  <c r="BC35"/>
  <c r="BC33"/>
  <c r="BC31"/>
  <c r="BC30"/>
  <c r="BH29"/>
  <c r="BC27"/>
  <c r="BH26"/>
  <c r="BC25"/>
  <c r="BC23"/>
  <c r="BC22"/>
  <c r="BC21"/>
  <c r="BC19"/>
  <c r="BC18"/>
  <c r="BC16"/>
  <c r="BC15"/>
  <c r="BC14"/>
  <c r="BC13"/>
  <c r="U59"/>
  <c r="E38"/>
  <c r="Q61"/>
  <c r="AR84"/>
  <c r="AA85"/>
  <c r="W93"/>
  <c r="H19" i="3"/>
  <c r="U115" i="2"/>
  <c r="H32" i="3"/>
  <c r="H18"/>
  <c r="H13"/>
  <c r="H4"/>
  <c r="H16"/>
  <c r="H24"/>
  <c r="H23"/>
  <c r="AG78" i="2"/>
  <c r="AP33"/>
  <c r="AP35"/>
  <c r="BU194"/>
  <c r="H34" i="3"/>
  <c r="H33"/>
  <c r="H31"/>
  <c r="H30"/>
  <c r="H29"/>
  <c r="H28"/>
  <c r="H27"/>
  <c r="H26"/>
  <c r="H25"/>
  <c r="H21"/>
  <c r="H20"/>
  <c r="H17"/>
  <c r="H15"/>
  <c r="H12"/>
  <c r="H11"/>
  <c r="H10"/>
  <c r="H9"/>
  <c r="H8"/>
  <c r="H7"/>
  <c r="H3"/>
  <c r="H2"/>
  <c r="AS46" i="2"/>
  <c r="AO65"/>
  <c r="AY19" l="1"/>
  <c r="AY51"/>
  <c r="AY69"/>
  <c r="BH14"/>
  <c r="BQ14"/>
  <c r="BH16"/>
  <c r="BQ16"/>
  <c r="BH18"/>
  <c r="BQ18"/>
  <c r="BH20"/>
  <c r="BQ20"/>
  <c r="BH22"/>
  <c r="BQ22"/>
  <c r="BH25"/>
  <c r="BQ25"/>
  <c r="BH27"/>
  <c r="BQ27"/>
  <c r="BH31"/>
  <c r="BQ31"/>
  <c r="BH33"/>
  <c r="BQ33"/>
  <c r="BH34"/>
  <c r="BQ34"/>
  <c r="BH38"/>
  <c r="BQ38"/>
  <c r="BH13"/>
  <c r="BQ13"/>
  <c r="BH15"/>
  <c r="BQ15"/>
  <c r="BH17"/>
  <c r="BQ17"/>
  <c r="BH19"/>
  <c r="BQ19"/>
  <c r="BH21"/>
  <c r="BQ21"/>
  <c r="BH23"/>
  <c r="BQ23"/>
  <c r="BH28"/>
  <c r="BQ28"/>
  <c r="BH30"/>
  <c r="BQ30"/>
  <c r="BH32"/>
  <c r="BQ32"/>
  <c r="BH35"/>
  <c r="BQ35"/>
  <c r="BH37"/>
  <c r="BQ37"/>
  <c r="BH39"/>
  <c r="BQ39"/>
  <c r="BH12"/>
  <c r="BQ12"/>
  <c r="AX61"/>
  <c r="AV65" s="1"/>
  <c r="AX13"/>
  <c r="AX40"/>
  <c r="AX59"/>
  <c r="AX12"/>
  <c r="AX14"/>
  <c r="AX39"/>
  <c r="AX41"/>
  <c r="AX60"/>
  <c r="AX62"/>
  <c r="AX38"/>
  <c r="AX11"/>
  <c r="H6" i="3"/>
  <c r="BS131" i="2"/>
  <c r="BA53" l="1"/>
  <c r="AV81"/>
  <c r="H5" i="3"/>
</calcChain>
</file>

<file path=xl/sharedStrings.xml><?xml version="1.0" encoding="utf-8"?>
<sst xmlns="http://schemas.openxmlformats.org/spreadsheetml/2006/main" count="523" uniqueCount="119">
  <si>
    <t>Comarca</t>
  </si>
  <si>
    <t>Capital</t>
  </si>
  <si>
    <t xml:space="preserve">ET FALTEN     </t>
  </si>
  <si>
    <t>CAPITAL</t>
  </si>
  <si>
    <t>FALTEN AQUESTES COMARQUES</t>
  </si>
  <si>
    <t>L'ALACANTÍ</t>
  </si>
  <si>
    <t>ALACANT</t>
  </si>
  <si>
    <t>L'ALCOIÀ</t>
  </si>
  <si>
    <t>ALCOI</t>
  </si>
  <si>
    <t>L'ALCALATÉN</t>
  </si>
  <si>
    <t>L'ALCORA</t>
  </si>
  <si>
    <t>L'ALT MAESTRAT</t>
  </si>
  <si>
    <t>ALBOCÀSSER</t>
  </si>
  <si>
    <t>L'ALT MILLARS</t>
  </si>
  <si>
    <t>CIRAT</t>
  </si>
  <si>
    <t>L'ALT PALÀNCIA</t>
  </si>
  <si>
    <t>SOGORB</t>
  </si>
  <si>
    <t>L'ALT VINALOPÓ</t>
  </si>
  <si>
    <t>VILLENA</t>
  </si>
  <si>
    <t>EL BAIX MAESTRAT</t>
  </si>
  <si>
    <t>VINARÒS</t>
  </si>
  <si>
    <t>EL BAIX SEGURA</t>
  </si>
  <si>
    <t>ORIOLA</t>
  </si>
  <si>
    <t>ELX</t>
  </si>
  <si>
    <t>EL CAMP DE MORVEDRE</t>
  </si>
  <si>
    <t>SAGUNT</t>
  </si>
  <si>
    <t>EL CAMP DE TÚRIA</t>
  </si>
  <si>
    <t>LLÍRIA</t>
  </si>
  <si>
    <t>EL CANAL NAVARRÉS</t>
  </si>
  <si>
    <t>ÉNGUERA</t>
  </si>
  <si>
    <t>EL COMPTAT</t>
  </si>
  <si>
    <t>COCENTAINA</t>
  </si>
  <si>
    <t>LA COSTERA</t>
  </si>
  <si>
    <t>XÀTIVA</t>
  </si>
  <si>
    <t>LA FOIA DE BUNYOL</t>
  </si>
  <si>
    <t>XIVA</t>
  </si>
  <si>
    <t>L'HORTA NORD</t>
  </si>
  <si>
    <t>PUÇOL</t>
  </si>
  <si>
    <t>L'HORTA SUD</t>
  </si>
  <si>
    <t>TORRENT</t>
  </si>
  <si>
    <t>LA MARINA ALTA</t>
  </si>
  <si>
    <t>DÉNIA</t>
  </si>
  <si>
    <t>LA MARINA BAIXA</t>
  </si>
  <si>
    <t>LA VILA JOIOSA</t>
  </si>
  <si>
    <t>ELS PORTS</t>
  </si>
  <si>
    <t>MORELLA</t>
  </si>
  <si>
    <t>LA PLANA ALTA</t>
  </si>
  <si>
    <t>CASTELLÓ DE LA PLANA</t>
  </si>
  <si>
    <t>LA PLANA BAIXA</t>
  </si>
  <si>
    <t>BORRIANA</t>
  </si>
  <si>
    <t>LA PLANA D'UTIEL-REQUENA</t>
  </si>
  <si>
    <t>REQUENA</t>
  </si>
  <si>
    <t>EL RACÓ D'ADEMÚS</t>
  </si>
  <si>
    <t>ADEMÚS</t>
  </si>
  <si>
    <t>LA RIBERA ALTA</t>
  </si>
  <si>
    <t>ALZINA</t>
  </si>
  <si>
    <t>LA RIBERA BAIXA</t>
  </si>
  <si>
    <t>SUECA</t>
  </si>
  <si>
    <t>ELS SERRANS</t>
  </si>
  <si>
    <t>XELVA</t>
  </si>
  <si>
    <t>LA SAFOR</t>
  </si>
  <si>
    <t>GANDIA</t>
  </si>
  <si>
    <t>VALÈNCIA</t>
  </si>
  <si>
    <t>LA VALL D'ALBAIDA</t>
  </si>
  <si>
    <t>ONTINYENT</t>
  </si>
  <si>
    <t>LA VALL DE COFRENTS-AIORA</t>
  </si>
  <si>
    <t>AIORA</t>
  </si>
  <si>
    <t>ELDA</t>
  </si>
  <si>
    <t>EL BAIX VINALOPÓ</t>
  </si>
  <si>
    <t>EL VINALOPÓ MITJÀ</t>
  </si>
  <si>
    <t>Càlcul de capitals</t>
  </si>
  <si>
    <t>CONTESTA LA PRIMERA COMARCA</t>
  </si>
  <si>
    <t>T'EN FALTEN</t>
  </si>
  <si>
    <t>Sogorb</t>
  </si>
  <si>
    <t>La Vila Joiosa</t>
  </si>
  <si>
    <t>Énguera</t>
  </si>
  <si>
    <t>Puçol</t>
  </si>
  <si>
    <t>L'Horta Oest</t>
  </si>
  <si>
    <t>L'HORTA OEST</t>
  </si>
  <si>
    <t>Alacant</t>
  </si>
  <si>
    <t>Alcoi</t>
  </si>
  <si>
    <t>Alcorà</t>
  </si>
  <si>
    <t>Cirat</t>
  </si>
  <si>
    <t>Villena</t>
  </si>
  <si>
    <t>Elx</t>
  </si>
  <si>
    <t>Oriola</t>
  </si>
  <si>
    <t>Vinaròs</t>
  </si>
  <si>
    <t>Sagunt</t>
  </si>
  <si>
    <t>Llíria</t>
  </si>
  <si>
    <t>Cocetaina</t>
  </si>
  <si>
    <t>x</t>
  </si>
  <si>
    <t>Albocàsser</t>
  </si>
  <si>
    <t>Xàtiva</t>
  </si>
  <si>
    <t>Xiva</t>
  </si>
  <si>
    <t>Dènia</t>
  </si>
  <si>
    <t>Morella</t>
  </si>
  <si>
    <t>Castelló</t>
  </si>
  <si>
    <t>Borriana</t>
  </si>
  <si>
    <t>Requena</t>
  </si>
  <si>
    <t>Ademús</t>
  </si>
  <si>
    <t>Alzira</t>
  </si>
  <si>
    <t>Sueca</t>
  </si>
  <si>
    <t>Xelva</t>
  </si>
  <si>
    <t>Torrent</t>
  </si>
  <si>
    <t>Gandia</t>
  </si>
  <si>
    <t>Ontinyent</t>
  </si>
  <si>
    <t>Aiora</t>
  </si>
  <si>
    <t>Elda</t>
  </si>
  <si>
    <t>Valen</t>
  </si>
  <si>
    <t>Catarroja</t>
  </si>
  <si>
    <t>TOTAL D'ENCERTS</t>
  </si>
  <si>
    <t>CATARROJA</t>
  </si>
  <si>
    <t>ALZIRA</t>
  </si>
  <si>
    <t>ALRINA</t>
  </si>
  <si>
    <t>Capit</t>
  </si>
  <si>
    <t>LA CANAL NAVARRÉS</t>
  </si>
  <si>
    <t>EL COMTAT</t>
  </si>
  <si>
    <t>LA VALL DE COFRENTS</t>
  </si>
  <si>
    <t>LA PLANA D'UTIEL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</si>
</sst>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fornian FB"/>
      <family val="1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fornian FB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3"/>
      <color rgb="FFFFFF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FF0000"/>
      <name val="Californian FB"/>
      <family val="1"/>
    </font>
    <font>
      <b/>
      <sz val="11"/>
      <color rgb="FFFF0000"/>
      <name val="Californian FB"/>
      <family val="1"/>
    </font>
  </fonts>
  <fills count="2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/>
    <xf numFmtId="0" fontId="4" fillId="3" borderId="0" xfId="0" applyFont="1" applyFill="1"/>
    <xf numFmtId="0" fontId="12" fillId="0" borderId="0" xfId="0" applyFont="1" applyBorder="1"/>
    <xf numFmtId="0" fontId="4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4" fillId="7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9" fillId="7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9" fillId="4" borderId="0" xfId="0" applyFont="1" applyFill="1" applyProtection="1">
      <protection hidden="1"/>
    </xf>
    <xf numFmtId="0" fontId="4" fillId="9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4" fillId="8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4" fillId="11" borderId="0" xfId="0" applyFont="1" applyFill="1" applyProtection="1">
      <protection hidden="1"/>
    </xf>
    <xf numFmtId="0" fontId="4" fillId="13" borderId="0" xfId="0" applyFont="1" applyFill="1" applyProtection="1">
      <protection hidden="1"/>
    </xf>
    <xf numFmtId="0" fontId="4" fillId="13" borderId="0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12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4" fillId="10" borderId="0" xfId="0" applyFont="1" applyFill="1" applyProtection="1">
      <protection hidden="1"/>
    </xf>
    <xf numFmtId="0" fontId="0" fillId="0" borderId="0" xfId="0" applyProtection="1">
      <protection hidden="1"/>
    </xf>
    <xf numFmtId="0" fontId="23" fillId="0" borderId="0" xfId="0" applyFont="1" applyFill="1" applyBorder="1"/>
    <xf numFmtId="0" fontId="23" fillId="4" borderId="0" xfId="0" applyFont="1" applyFill="1" applyBorder="1"/>
    <xf numFmtId="0" fontId="22" fillId="0" borderId="0" xfId="0" applyFont="1" applyFill="1" applyBorder="1" applyProtection="1">
      <protection hidden="1"/>
    </xf>
    <xf numFmtId="0" fontId="4" fillId="10" borderId="0" xfId="0" applyFont="1" applyFill="1" applyBorder="1"/>
    <xf numFmtId="0" fontId="4" fillId="10" borderId="0" xfId="0" applyFont="1" applyFill="1"/>
    <xf numFmtId="0" fontId="4" fillId="6" borderId="0" xfId="0" applyFont="1" applyFill="1" applyBorder="1"/>
    <xf numFmtId="0" fontId="4" fillId="20" borderId="0" xfId="0" applyFont="1" applyFill="1" applyBorder="1"/>
    <xf numFmtId="0" fontId="4" fillId="20" borderId="0" xfId="0" applyFont="1" applyFill="1"/>
    <xf numFmtId="0" fontId="4" fillId="20" borderId="0" xfId="0" applyFont="1" applyFill="1" applyProtection="1">
      <protection hidden="1"/>
    </xf>
    <xf numFmtId="0" fontId="4" fillId="17" borderId="0" xfId="0" applyFont="1" applyFill="1" applyProtection="1">
      <protection hidden="1"/>
    </xf>
    <xf numFmtId="0" fontId="4" fillId="12" borderId="0" xfId="0" applyFont="1" applyFill="1" applyBorder="1"/>
    <xf numFmtId="0" fontId="4" fillId="12" borderId="0" xfId="0" applyFont="1" applyFill="1"/>
    <xf numFmtId="0" fontId="4" fillId="21" borderId="0" xfId="0" applyFont="1" applyFill="1"/>
    <xf numFmtId="0" fontId="4" fillId="21" borderId="0" xfId="0" applyFont="1" applyFill="1" applyProtection="1">
      <protection hidden="1"/>
    </xf>
    <xf numFmtId="0" fontId="9" fillId="21" borderId="0" xfId="0" applyFont="1" applyFill="1" applyProtection="1">
      <protection hidden="1"/>
    </xf>
    <xf numFmtId="0" fontId="4" fillId="17" borderId="0" xfId="0" applyFont="1" applyFill="1" applyBorder="1" applyProtection="1">
      <protection hidden="1"/>
    </xf>
    <xf numFmtId="0" fontId="5" fillId="17" borderId="0" xfId="0" applyFont="1" applyFill="1" applyBorder="1" applyProtection="1">
      <protection hidden="1"/>
    </xf>
    <xf numFmtId="0" fontId="1" fillId="0" borderId="0" xfId="0" applyFont="1" applyFill="1" applyBorder="1" applyProtection="1">
      <protection locked="0" hidden="1"/>
    </xf>
    <xf numFmtId="0" fontId="4" fillId="17" borderId="0" xfId="0" applyFont="1" applyFill="1"/>
    <xf numFmtId="0" fontId="4" fillId="4" borderId="0" xfId="0" applyFont="1" applyFill="1"/>
    <xf numFmtId="0" fontId="22" fillId="4" borderId="0" xfId="0" applyFont="1" applyFill="1" applyBorder="1" applyProtection="1">
      <protection hidden="1"/>
    </xf>
    <xf numFmtId="0" fontId="4" fillId="5" borderId="0" xfId="0" applyFont="1" applyFill="1"/>
    <xf numFmtId="0" fontId="4" fillId="8" borderId="0" xfId="0" applyFont="1" applyFill="1"/>
    <xf numFmtId="0" fontId="4" fillId="9" borderId="0" xfId="0" applyFont="1" applyFill="1"/>
    <xf numFmtId="0" fontId="22" fillId="9" borderId="0" xfId="0" applyFont="1" applyFill="1" applyBorder="1" applyProtection="1">
      <protection hidden="1"/>
    </xf>
    <xf numFmtId="0" fontId="4" fillId="18" borderId="0" xfId="0" applyFont="1" applyFill="1" applyProtection="1">
      <protection hidden="1"/>
    </xf>
    <xf numFmtId="0" fontId="4" fillId="19" borderId="0" xfId="0" applyFont="1" applyFill="1" applyProtection="1">
      <protection hidden="1"/>
    </xf>
    <xf numFmtId="0" fontId="4" fillId="23" borderId="0" xfId="0" applyFont="1" applyFill="1"/>
    <xf numFmtId="0" fontId="4" fillId="24" borderId="0" xfId="0" applyFont="1" applyFill="1" applyProtection="1">
      <protection hidden="1"/>
    </xf>
    <xf numFmtId="0" fontId="4" fillId="18" borderId="0" xfId="0" applyFont="1" applyFill="1"/>
    <xf numFmtId="0" fontId="4" fillId="22" borderId="0" xfId="0" applyFont="1" applyFill="1" applyProtection="1">
      <protection hidden="1"/>
    </xf>
    <xf numFmtId="0" fontId="20" fillId="13" borderId="0" xfId="0" applyFont="1" applyFill="1" applyBorder="1" applyProtection="1">
      <protection hidden="1"/>
    </xf>
    <xf numFmtId="0" fontId="21" fillId="10" borderId="0" xfId="0" applyFont="1" applyFill="1" applyBorder="1" applyProtection="1">
      <protection hidden="1"/>
    </xf>
    <xf numFmtId="0" fontId="7" fillId="10" borderId="0" xfId="0" applyFont="1" applyFill="1" applyProtection="1">
      <protection hidden="1"/>
    </xf>
    <xf numFmtId="0" fontId="4" fillId="6" borderId="0" xfId="0" applyFont="1" applyFill="1"/>
    <xf numFmtId="0" fontId="21" fillId="3" borderId="0" xfId="0" applyFont="1" applyFill="1" applyBorder="1" applyProtection="1">
      <protection hidden="1"/>
    </xf>
    <xf numFmtId="0" fontId="4" fillId="9" borderId="0" xfId="0" applyFont="1" applyFill="1" applyBorder="1"/>
    <xf numFmtId="0" fontId="13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locked="0"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ont="1" applyFill="1" applyProtection="1">
      <protection hidden="1"/>
    </xf>
    <xf numFmtId="0" fontId="4" fillId="0" borderId="1" xfId="0" applyFont="1" applyFill="1" applyBorder="1" applyProtection="1">
      <protection locked="0" hidden="1"/>
    </xf>
    <xf numFmtId="0" fontId="17" fillId="0" borderId="0" xfId="0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1" fillId="24" borderId="0" xfId="0" applyFont="1" applyFill="1" applyBorder="1" applyProtection="1">
      <protection locked="0" hidden="1"/>
    </xf>
    <xf numFmtId="0" fontId="4" fillId="25" borderId="0" xfId="0" applyFont="1" applyFill="1"/>
    <xf numFmtId="0" fontId="4" fillId="25" borderId="0" xfId="0" applyFont="1" applyFill="1" applyProtection="1">
      <protection hidden="1"/>
    </xf>
    <xf numFmtId="0" fontId="4" fillId="26" borderId="0" xfId="0" applyFont="1" applyFill="1"/>
    <xf numFmtId="0" fontId="4" fillId="26" borderId="0" xfId="0" applyFont="1" applyFill="1" applyProtection="1">
      <protection hidden="1"/>
    </xf>
    <xf numFmtId="0" fontId="4" fillId="10" borderId="0" xfId="0" applyFont="1" applyFill="1" applyBorder="1" applyProtection="1">
      <protection hidden="1"/>
    </xf>
    <xf numFmtId="0" fontId="4" fillId="26" borderId="0" xfId="0" applyFont="1" applyFill="1" applyBorder="1"/>
    <xf numFmtId="0" fontId="18" fillId="26" borderId="0" xfId="0" applyFont="1" applyFill="1" applyBorder="1" applyProtection="1">
      <protection hidden="1"/>
    </xf>
    <xf numFmtId="0" fontId="9" fillId="26" borderId="0" xfId="0" applyFont="1" applyFill="1" applyProtection="1">
      <protection hidden="1"/>
    </xf>
    <xf numFmtId="0" fontId="19" fillId="26" borderId="0" xfId="0" applyFont="1" applyFill="1" applyBorder="1" applyProtection="1">
      <protection hidden="1"/>
    </xf>
    <xf numFmtId="0" fontId="1" fillId="26" borderId="0" xfId="0" applyFont="1" applyFill="1" applyProtection="1">
      <protection hidden="1"/>
    </xf>
    <xf numFmtId="0" fontId="4" fillId="26" borderId="0" xfId="0" applyFont="1" applyFill="1" applyBorder="1" applyProtection="1">
      <protection hidden="1"/>
    </xf>
    <xf numFmtId="0" fontId="1" fillId="26" borderId="0" xfId="0" applyFont="1" applyFill="1" applyBorder="1" applyProtection="1">
      <protection locked="0" hidden="1"/>
    </xf>
    <xf numFmtId="0" fontId="25" fillId="26" borderId="0" xfId="0" applyFont="1" applyFill="1" applyProtection="1">
      <protection hidden="1"/>
    </xf>
    <xf numFmtId="0" fontId="26" fillId="26" borderId="0" xfId="0" applyFont="1" applyFill="1" applyProtection="1">
      <protection hidden="1"/>
    </xf>
    <xf numFmtId="0" fontId="7" fillId="26" borderId="0" xfId="0" applyFont="1" applyFill="1" applyProtection="1">
      <protection hidden="1"/>
    </xf>
    <xf numFmtId="0" fontId="22" fillId="26" borderId="0" xfId="0" applyFont="1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14" fillId="10" borderId="0" xfId="0" applyFont="1" applyFill="1" applyBorder="1" applyProtection="1">
      <protection hidden="1"/>
    </xf>
    <xf numFmtId="0" fontId="14" fillId="3" borderId="0" xfId="0" applyFont="1" applyFill="1" applyBorder="1" applyProtection="1">
      <protection hidden="1"/>
    </xf>
    <xf numFmtId="0" fontId="14" fillId="9" borderId="0" xfId="0" applyFont="1" applyFill="1" applyBorder="1" applyProtection="1">
      <protection hidden="1"/>
    </xf>
    <xf numFmtId="0" fontId="14" fillId="7" borderId="0" xfId="0" applyFont="1" applyFill="1" applyBorder="1" applyProtection="1">
      <protection hidden="1"/>
    </xf>
    <xf numFmtId="0" fontId="14" fillId="20" borderId="0" xfId="0" applyFont="1" applyFill="1" applyBorder="1" applyProtection="1">
      <protection hidden="1"/>
    </xf>
    <xf numFmtId="0" fontId="14" fillId="8" borderId="0" xfId="0" applyFont="1" applyFill="1" applyBorder="1" applyProtection="1">
      <protection hidden="1"/>
    </xf>
    <xf numFmtId="0" fontId="14" fillId="24" borderId="0" xfId="0" applyFont="1" applyFill="1" applyBorder="1" applyProtection="1">
      <protection hidden="1"/>
    </xf>
    <xf numFmtId="0" fontId="14" fillId="19" borderId="0" xfId="0" applyFont="1" applyFill="1" applyBorder="1" applyProtection="1">
      <protection hidden="1"/>
    </xf>
    <xf numFmtId="0" fontId="25" fillId="23" borderId="0" xfId="0" applyFont="1" applyFill="1" applyBorder="1" applyProtection="1">
      <protection hidden="1"/>
    </xf>
    <xf numFmtId="0" fontId="25" fillId="18" borderId="0" xfId="0" applyFont="1" applyFill="1" applyBorder="1" applyProtection="1">
      <protection hidden="1"/>
    </xf>
    <xf numFmtId="0" fontId="25" fillId="12" borderId="0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14" fillId="11" borderId="0" xfId="0" applyFont="1" applyFill="1" applyBorder="1" applyProtection="1">
      <protection hidden="1"/>
    </xf>
    <xf numFmtId="0" fontId="4" fillId="5" borderId="0" xfId="0" applyFont="1" applyFill="1" applyProtection="1">
      <protection hidden="1"/>
    </xf>
    <xf numFmtId="0" fontId="14" fillId="5" borderId="0" xfId="0" applyFont="1" applyFill="1" applyBorder="1" applyProtection="1">
      <protection hidden="1"/>
    </xf>
    <xf numFmtId="0" fontId="28" fillId="5" borderId="0" xfId="0" applyFont="1" applyFill="1" applyBorder="1" applyAlignment="1" applyProtection="1">
      <alignment vertical="top"/>
      <protection hidden="1"/>
    </xf>
    <xf numFmtId="0" fontId="27" fillId="25" borderId="0" xfId="0" applyFont="1" applyFill="1" applyBorder="1" applyProtection="1">
      <protection hidden="1"/>
    </xf>
    <xf numFmtId="0" fontId="14" fillId="17" borderId="0" xfId="0" applyFont="1" applyFill="1" applyBorder="1" applyProtection="1">
      <protection hidden="1"/>
    </xf>
    <xf numFmtId="0" fontId="27" fillId="22" borderId="0" xfId="0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/>
    <xf numFmtId="0" fontId="2" fillId="0" borderId="0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9" fillId="0" borderId="0" xfId="0" applyFont="1" applyFill="1" applyBorder="1"/>
    <xf numFmtId="0" fontId="11" fillId="14" borderId="0" xfId="1" applyFont="1" applyFill="1" applyBorder="1" applyAlignment="1" applyProtection="1">
      <alignment horizontal="left" vertical="center" wrapText="1"/>
    </xf>
    <xf numFmtId="0" fontId="11" fillId="15" borderId="0" xfId="1" applyFont="1" applyFill="1" applyBorder="1" applyAlignment="1" applyProtection="1">
      <alignment wrapText="1"/>
    </xf>
    <xf numFmtId="0" fontId="2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4" fillId="0" borderId="3" xfId="0" applyFont="1" applyBorder="1" applyProtection="1">
      <protection hidden="1"/>
    </xf>
    <xf numFmtId="0" fontId="14" fillId="0" borderId="0" xfId="0" applyFont="1" applyFill="1" applyBorder="1" applyAlignment="1">
      <alignment horizontal="center" vertical="center"/>
    </xf>
    <xf numFmtId="0" fontId="1" fillId="16" borderId="2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/>
    <xf numFmtId="0" fontId="14" fillId="0" borderId="0" xfId="0" applyFont="1" applyBorder="1"/>
    <xf numFmtId="0" fontId="1" fillId="16" borderId="0" xfId="0" applyFont="1" applyFill="1" applyBorder="1" applyAlignment="1" applyProtection="1">
      <alignment horizontal="center"/>
      <protection locked="0"/>
    </xf>
    <xf numFmtId="0" fontId="10" fillId="0" borderId="1" xfId="0" applyFont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29" fillId="10" borderId="0" xfId="0" applyFont="1" applyFill="1" applyBorder="1" applyProtection="1">
      <protection hidden="1"/>
    </xf>
    <xf numFmtId="0" fontId="29" fillId="4" borderId="0" xfId="0" applyFont="1" applyFill="1" applyBorder="1" applyProtection="1">
      <protection hidden="1"/>
    </xf>
    <xf numFmtId="0" fontId="29" fillId="6" borderId="0" xfId="0" applyFont="1" applyFill="1" applyBorder="1" applyProtection="1">
      <protection hidden="1"/>
    </xf>
    <xf numFmtId="0" fontId="30" fillId="12" borderId="0" xfId="0" applyFont="1" applyFill="1" applyBorder="1" applyProtection="1">
      <protection hidden="1"/>
    </xf>
    <xf numFmtId="0" fontId="31" fillId="12" borderId="0" xfId="0" applyFont="1" applyFill="1" applyBorder="1" applyProtection="1">
      <protection hidden="1"/>
    </xf>
    <xf numFmtId="0" fontId="29" fillId="20" borderId="0" xfId="0" applyFont="1" applyFill="1" applyBorder="1" applyProtection="1">
      <protection hidden="1"/>
    </xf>
    <xf numFmtId="0" fontId="29" fillId="21" borderId="0" xfId="0" applyFont="1" applyFill="1" applyBorder="1" applyProtection="1">
      <protection hidden="1"/>
    </xf>
    <xf numFmtId="0" fontId="29" fillId="17" borderId="0" xfId="0" applyFont="1" applyFill="1" applyBorder="1" applyProtection="1">
      <protection hidden="1"/>
    </xf>
    <xf numFmtId="0" fontId="14" fillId="9" borderId="0" xfId="0" applyFont="1" applyFill="1" applyBorder="1" applyAlignment="1" applyProtection="1">
      <alignment vertical="center"/>
      <protection hidden="1"/>
    </xf>
    <xf numFmtId="0" fontId="29" fillId="5" borderId="0" xfId="0" applyFont="1" applyFill="1" applyBorder="1" applyProtection="1">
      <protection hidden="1"/>
    </xf>
    <xf numFmtId="0" fontId="29" fillId="3" borderId="0" xfId="0" applyFont="1" applyFill="1" applyBorder="1" applyProtection="1">
      <protection hidden="1"/>
    </xf>
    <xf numFmtId="0" fontId="32" fillId="22" borderId="0" xfId="0" applyFont="1" applyFill="1" applyBorder="1" applyAlignment="1" applyProtection="1">
      <alignment horizontal="right"/>
      <protection hidden="1"/>
    </xf>
    <xf numFmtId="0" fontId="32" fillId="22" borderId="0" xfId="0" applyFont="1" applyFill="1" applyBorder="1" applyProtection="1">
      <protection hidden="1"/>
    </xf>
    <xf numFmtId="0" fontId="32" fillId="25" borderId="0" xfId="0" applyFont="1" applyFill="1" applyBorder="1" applyProtection="1">
      <protection hidden="1"/>
    </xf>
    <xf numFmtId="0" fontId="29" fillId="10" borderId="0" xfId="0" applyFont="1" applyFill="1" applyBorder="1" applyAlignment="1" applyProtection="1">
      <alignment horizontal="center"/>
      <protection hidden="1"/>
    </xf>
    <xf numFmtId="0" fontId="29" fillId="9" borderId="0" xfId="0" applyFont="1" applyFill="1" applyBorder="1" applyProtection="1">
      <protection hidden="1"/>
    </xf>
    <xf numFmtId="0" fontId="14" fillId="5" borderId="0" xfId="0" applyFont="1" applyFill="1" applyBorder="1" applyAlignment="1" applyProtection="1">
      <alignment vertical="top"/>
      <protection hidden="1"/>
    </xf>
    <xf numFmtId="0" fontId="29" fillId="5" borderId="0" xfId="0" applyFont="1" applyFill="1" applyBorder="1" applyAlignment="1" applyProtection="1">
      <alignment vertical="top"/>
      <protection hidden="1"/>
    </xf>
    <xf numFmtId="0" fontId="14" fillId="8" borderId="0" xfId="0" applyFont="1" applyFill="1" applyBorder="1" applyAlignment="1" applyProtection="1">
      <alignment horizontal="left"/>
      <protection hidden="1"/>
    </xf>
    <xf numFmtId="0" fontId="29" fillId="13" borderId="0" xfId="0" applyFont="1" applyFill="1" applyBorder="1" applyProtection="1">
      <protection hidden="1"/>
    </xf>
    <xf numFmtId="0" fontId="14" fillId="13" borderId="0" xfId="0" applyFont="1" applyFill="1" applyBorder="1" applyProtection="1">
      <protection hidden="1"/>
    </xf>
    <xf numFmtId="0" fontId="29" fillId="24" borderId="0" xfId="0" applyFont="1" applyFill="1" applyBorder="1" applyProtection="1">
      <protection hidden="1"/>
    </xf>
    <xf numFmtId="0" fontId="14" fillId="11" borderId="0" xfId="0" applyFont="1" applyFill="1" applyBorder="1" applyAlignment="1" applyProtection="1">
      <alignment horizontal="center"/>
      <protection hidden="1"/>
    </xf>
    <xf numFmtId="0" fontId="14" fillId="11" borderId="0" xfId="0" applyFont="1" applyFill="1" applyProtection="1">
      <protection hidden="1"/>
    </xf>
    <xf numFmtId="0" fontId="4" fillId="23" borderId="0" xfId="0" applyFont="1" applyFill="1" applyBorder="1"/>
    <xf numFmtId="0" fontId="4" fillId="3" borderId="0" xfId="0" applyFont="1" applyFill="1" applyBorder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28" fillId="11" borderId="0" xfId="0" applyFont="1" applyFill="1" applyBorder="1" applyAlignment="1" applyProtection="1">
      <alignment horizontal="left"/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29" fillId="3" borderId="0" xfId="0" applyFont="1" applyFill="1" applyBorder="1" applyAlignment="1" applyProtection="1">
      <alignment horizontal="left"/>
      <protection hidden="1"/>
    </xf>
    <xf numFmtId="0" fontId="29" fillId="3" borderId="0" xfId="0" applyFont="1" applyFill="1" applyBorder="1" applyAlignment="1" applyProtection="1">
      <alignment horizontal="right"/>
      <protection hidden="1"/>
    </xf>
    <xf numFmtId="0" fontId="29" fillId="7" borderId="0" xfId="0" applyFont="1" applyFill="1" applyBorder="1" applyAlignment="1" applyProtection="1">
      <alignment horizontal="right"/>
      <protection hidden="1"/>
    </xf>
    <xf numFmtId="0" fontId="4" fillId="7" borderId="0" xfId="0" applyFont="1" applyFill="1" applyBorder="1" applyAlignment="1" applyProtection="1">
      <alignment horizontal="left"/>
      <protection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33" fillId="14" borderId="0" xfId="1" applyFont="1" applyFill="1" applyBorder="1" applyAlignment="1" applyProtection="1">
      <alignment horizontal="left" vertical="center" wrapText="1"/>
    </xf>
    <xf numFmtId="0" fontId="33" fillId="15" borderId="0" xfId="1" applyFont="1" applyFill="1" applyBorder="1" applyAlignment="1" applyProtection="1">
      <alignment wrapText="1"/>
    </xf>
    <xf numFmtId="0" fontId="32" fillId="18" borderId="0" xfId="0" applyFont="1" applyFill="1" applyBorder="1" applyProtection="1">
      <protection hidden="1"/>
    </xf>
    <xf numFmtId="0" fontId="29" fillId="11" borderId="0" xfId="0" applyFont="1" applyFill="1" applyBorder="1" applyProtection="1">
      <protection hidden="1"/>
    </xf>
    <xf numFmtId="0" fontId="12" fillId="0" borderId="0" xfId="0" applyFont="1"/>
    <xf numFmtId="0" fontId="2" fillId="18" borderId="0" xfId="0" applyFont="1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8" fillId="7" borderId="0" xfId="0" applyFont="1" applyFill="1" applyProtection="1">
      <protection hidden="1"/>
    </xf>
    <xf numFmtId="0" fontId="34" fillId="2" borderId="0" xfId="0" applyFont="1" applyFill="1" applyBorder="1" applyProtection="1">
      <protection hidden="1"/>
    </xf>
    <xf numFmtId="0" fontId="30" fillId="18" borderId="0" xfId="0" applyFont="1" applyFill="1" applyBorder="1" applyProtection="1">
      <protection hidden="1"/>
    </xf>
    <xf numFmtId="0" fontId="29" fillId="3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29" fillId="9" borderId="0" xfId="0" applyFont="1" applyFill="1" applyBorder="1" applyAlignment="1" applyProtection="1">
      <alignment horizontal="center"/>
      <protection hidden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24" fillId="4" borderId="1" xfId="0" applyFont="1" applyFill="1" applyBorder="1" applyProtection="1">
      <protection locked="0"/>
    </xf>
    <xf numFmtId="0" fontId="4" fillId="10" borderId="1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4" fillId="12" borderId="1" xfId="0" applyFont="1" applyFill="1" applyBorder="1" applyProtection="1">
      <protection locked="0"/>
    </xf>
    <xf numFmtId="0" fontId="4" fillId="21" borderId="1" xfId="0" applyFont="1" applyFill="1" applyBorder="1" applyProtection="1">
      <protection locked="0"/>
    </xf>
    <xf numFmtId="0" fontId="4" fillId="17" borderId="1" xfId="0" applyFont="1" applyFill="1" applyBorder="1" applyProtection="1">
      <protection locked="0"/>
    </xf>
    <xf numFmtId="0" fontId="4" fillId="20" borderId="1" xfId="0" applyFont="1" applyFill="1" applyBorder="1" applyProtection="1">
      <protection locked="0"/>
    </xf>
    <xf numFmtId="0" fontId="28" fillId="11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7" borderId="1" xfId="0" applyFont="1" applyFill="1" applyBorder="1" applyAlignment="1" applyProtection="1">
      <alignment horizontal="left"/>
      <protection locked="0"/>
    </xf>
    <xf numFmtId="0" fontId="4" fillId="9" borderId="1" xfId="0" applyFont="1" applyFill="1" applyBorder="1" applyProtection="1">
      <protection locked="0"/>
    </xf>
    <xf numFmtId="0" fontId="27" fillId="18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3" borderId="1" xfId="0" applyFont="1" applyFill="1" applyBorder="1" applyProtection="1">
      <protection locked="0"/>
    </xf>
    <xf numFmtId="0" fontId="27" fillId="18" borderId="1" xfId="0" applyFont="1" applyFill="1" applyBorder="1" applyProtection="1">
      <protection locked="0"/>
    </xf>
    <xf numFmtId="0" fontId="4" fillId="13" borderId="1" xfId="0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4" fillId="8" borderId="1" xfId="0" applyFont="1" applyFill="1" applyBorder="1" applyProtection="1">
      <protection locked="0"/>
    </xf>
    <xf numFmtId="0" fontId="4" fillId="24" borderId="1" xfId="0" applyFont="1" applyFill="1" applyBorder="1" applyProtection="1">
      <protection locked="0"/>
    </xf>
    <xf numFmtId="0" fontId="4" fillId="11" borderId="1" xfId="0" applyFont="1" applyFill="1" applyBorder="1" applyProtection="1">
      <protection locked="0"/>
    </xf>
    <xf numFmtId="0" fontId="4" fillId="19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22" borderId="1" xfId="0" applyFont="1" applyFill="1" applyBorder="1" applyProtection="1">
      <protection locked="0"/>
    </xf>
    <xf numFmtId="0" fontId="4" fillId="25" borderId="1" xfId="0" applyFont="1" applyFill="1" applyBorder="1" applyProtection="1">
      <protection locked="0"/>
    </xf>
    <xf numFmtId="0" fontId="34" fillId="4" borderId="0" xfId="0" applyFont="1" applyFill="1" applyBorder="1" applyProtection="1">
      <protection locked="0"/>
    </xf>
    <xf numFmtId="0" fontId="2" fillId="10" borderId="0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12" borderId="0" xfId="0" applyFont="1" applyFill="1" applyBorder="1" applyProtection="1">
      <protection locked="0"/>
    </xf>
    <xf numFmtId="0" fontId="2" fillId="20" borderId="0" xfId="0" applyFont="1" applyFill="1" applyBorder="1" applyProtection="1">
      <protection locked="0"/>
    </xf>
    <xf numFmtId="0" fontId="34" fillId="21" borderId="0" xfId="0" applyFont="1" applyFill="1" applyBorder="1" applyProtection="1">
      <protection locked="0"/>
    </xf>
    <xf numFmtId="0" fontId="2" fillId="17" borderId="0" xfId="0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0" fontId="2" fillId="11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0" fontId="7" fillId="10" borderId="0" xfId="0" applyFont="1" applyFill="1" applyProtection="1">
      <protection locked="0"/>
    </xf>
    <xf numFmtId="0" fontId="7" fillId="9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2" fillId="13" borderId="0" xfId="0" applyFont="1" applyFill="1" applyProtection="1">
      <protection locked="0"/>
    </xf>
    <xf numFmtId="0" fontId="2" fillId="10" borderId="0" xfId="0" applyFont="1" applyFill="1" applyProtection="1">
      <protection locked="0"/>
    </xf>
    <xf numFmtId="0" fontId="2" fillId="24" borderId="0" xfId="0" applyFont="1" applyFill="1" applyProtection="1">
      <protection locked="0"/>
    </xf>
    <xf numFmtId="0" fontId="4" fillId="9" borderId="0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0" fontId="7" fillId="22" borderId="0" xfId="0" applyFont="1" applyFill="1" applyProtection="1">
      <protection locked="0"/>
    </xf>
    <xf numFmtId="0" fontId="35" fillId="25" borderId="0" xfId="0" applyFont="1" applyFill="1" applyBorder="1" applyProtection="1">
      <protection locked="0"/>
    </xf>
    <xf numFmtId="0" fontId="2" fillId="17" borderId="0" xfId="0" applyFont="1" applyFill="1" applyProtection="1">
      <protection locked="0"/>
    </xf>
    <xf numFmtId="0" fontId="2" fillId="8" borderId="0" xfId="0" applyFont="1" applyFill="1" applyProtection="1">
      <protection locked="0"/>
    </xf>
    <xf numFmtId="0" fontId="2" fillId="18" borderId="0" xfId="0" applyFont="1" applyFill="1" applyProtection="1">
      <protection locked="0"/>
    </xf>
    <xf numFmtId="0" fontId="7" fillId="23" borderId="0" xfId="0" applyFont="1" applyFill="1" applyProtection="1">
      <protection locked="0"/>
    </xf>
    <xf numFmtId="0" fontId="37" fillId="0" borderId="0" xfId="0" applyFont="1" applyFill="1" applyBorder="1" applyAlignment="1" applyProtection="1">
      <alignment horizontal="right"/>
      <protection hidden="1"/>
    </xf>
    <xf numFmtId="0" fontId="36" fillId="0" borderId="0" xfId="0" applyFont="1" applyFill="1" applyBorder="1" applyProtection="1">
      <protection hidden="1"/>
    </xf>
    <xf numFmtId="0" fontId="4" fillId="4" borderId="1" xfId="0" applyFont="1" applyFill="1" applyBorder="1" applyProtection="1">
      <protection locked="0"/>
    </xf>
    <xf numFmtId="0" fontId="2" fillId="19" borderId="0" xfId="0" applyFont="1" applyFill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FF"/>
      <color rgb="FFF81AD8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125867</xdr:colOff>
      <xdr:row>27</xdr:row>
      <xdr:rowOff>24404</xdr:rowOff>
    </xdr:from>
    <xdr:to>
      <xdr:col>35</xdr:col>
      <xdr:colOff>17417</xdr:colOff>
      <xdr:row>34</xdr:row>
      <xdr:rowOff>72925</xdr:rowOff>
    </xdr:to>
    <xdr:sp macro="" textlink="">
      <xdr:nvSpPr>
        <xdr:cNvPr id="54" name="53 Triángulo isósceles"/>
        <xdr:cNvSpPr/>
      </xdr:nvSpPr>
      <xdr:spPr>
        <a:xfrm rot="7898835">
          <a:off x="8467482" y="5617864"/>
          <a:ext cx="1448696" cy="1196475"/>
        </a:xfrm>
        <a:prstGeom prst="triangle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26</xdr:col>
      <xdr:colOff>65074</xdr:colOff>
      <xdr:row>63</xdr:row>
      <xdr:rowOff>110184</xdr:rowOff>
    </xdr:from>
    <xdr:to>
      <xdr:col>33</xdr:col>
      <xdr:colOff>195486</xdr:colOff>
      <xdr:row>68</xdr:row>
      <xdr:rowOff>52420</xdr:rowOff>
    </xdr:to>
    <xdr:sp macro="" textlink="">
      <xdr:nvSpPr>
        <xdr:cNvPr id="37" name="36 Triángulo isósceles"/>
        <xdr:cNvSpPr/>
      </xdr:nvSpPr>
      <xdr:spPr>
        <a:xfrm rot="8873894">
          <a:off x="7151674" y="12845109"/>
          <a:ext cx="1873487" cy="1142386"/>
        </a:xfrm>
        <a:prstGeom prst="triangle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2</xdr:col>
      <xdr:colOff>15206</xdr:colOff>
      <xdr:row>33</xdr:row>
      <xdr:rowOff>151924</xdr:rowOff>
    </xdr:from>
    <xdr:to>
      <xdr:col>3</xdr:col>
      <xdr:colOff>38954</xdr:colOff>
      <xdr:row>36</xdr:row>
      <xdr:rowOff>86230</xdr:rowOff>
    </xdr:to>
    <xdr:sp macro="" textlink="">
      <xdr:nvSpPr>
        <xdr:cNvPr id="7" name="6 Triángulo rectángulo"/>
        <xdr:cNvSpPr/>
      </xdr:nvSpPr>
      <xdr:spPr>
        <a:xfrm rot="16719680">
          <a:off x="586604" y="6886761"/>
          <a:ext cx="337718" cy="315101"/>
        </a:xfrm>
        <a:prstGeom prst="rt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13</xdr:col>
      <xdr:colOff>200965</xdr:colOff>
      <xdr:row>76</xdr:row>
      <xdr:rowOff>44330</xdr:rowOff>
    </xdr:from>
    <xdr:to>
      <xdr:col>16</xdr:col>
      <xdr:colOff>9054</xdr:colOff>
      <xdr:row>80</xdr:row>
      <xdr:rowOff>165728</xdr:rowOff>
    </xdr:to>
    <xdr:sp macro="" textlink="">
      <xdr:nvSpPr>
        <xdr:cNvPr id="9" name="8 Triángulo isósceles"/>
        <xdr:cNvSpPr/>
      </xdr:nvSpPr>
      <xdr:spPr>
        <a:xfrm rot="18946126">
          <a:off x="4039540" y="15246230"/>
          <a:ext cx="693914" cy="921498"/>
        </a:xfrm>
        <a:prstGeom prst="triangle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31</xdr:col>
      <xdr:colOff>224118</xdr:colOff>
      <xdr:row>53</xdr:row>
      <xdr:rowOff>190500</xdr:rowOff>
    </xdr:from>
    <xdr:to>
      <xdr:col>34</xdr:col>
      <xdr:colOff>41460</xdr:colOff>
      <xdr:row>56</xdr:row>
      <xdr:rowOff>45944</xdr:rowOff>
    </xdr:to>
    <xdr:sp macro="" textlink="">
      <xdr:nvSpPr>
        <xdr:cNvPr id="17" name="16 Triángulo rectángulo"/>
        <xdr:cNvSpPr/>
      </xdr:nvSpPr>
      <xdr:spPr>
        <a:xfrm>
          <a:off x="8673353" y="10679206"/>
          <a:ext cx="691401" cy="460562"/>
        </a:xfrm>
        <a:prstGeom prst="rtTriangle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>
            <a:ln>
              <a:solidFill>
                <a:schemeClr val="accent6">
                  <a:lumMod val="50000"/>
                </a:schemeClr>
              </a:solidFill>
            </a:ln>
            <a:solidFill>
              <a:schemeClr val="accent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32</xdr:col>
      <xdr:colOff>173608</xdr:colOff>
      <xdr:row>57</xdr:row>
      <xdr:rowOff>150393</xdr:rowOff>
    </xdr:from>
    <xdr:to>
      <xdr:col>33</xdr:col>
      <xdr:colOff>237955</xdr:colOff>
      <xdr:row>60</xdr:row>
      <xdr:rowOff>124909</xdr:rowOff>
    </xdr:to>
    <xdr:sp macro="" textlink="">
      <xdr:nvSpPr>
        <xdr:cNvPr id="20" name="19 Triángulo rectángulo"/>
        <xdr:cNvSpPr/>
      </xdr:nvSpPr>
      <xdr:spPr>
        <a:xfrm rot="5894782">
          <a:off x="8600523" y="11792653"/>
          <a:ext cx="574591" cy="359622"/>
        </a:xfrm>
        <a:prstGeom prst="rtTriangle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18</xdr:col>
      <xdr:colOff>0</xdr:colOff>
      <xdr:row>76</xdr:row>
      <xdr:rowOff>190505</xdr:rowOff>
    </xdr:from>
    <xdr:to>
      <xdr:col>19</xdr:col>
      <xdr:colOff>285749</xdr:colOff>
      <xdr:row>79</xdr:row>
      <xdr:rowOff>190504</xdr:rowOff>
    </xdr:to>
    <xdr:sp macro="" textlink="">
      <xdr:nvSpPr>
        <xdr:cNvPr id="25" name="24 Triángulo rectángulo"/>
        <xdr:cNvSpPr/>
      </xdr:nvSpPr>
      <xdr:spPr>
        <a:xfrm rot="5400000">
          <a:off x="5305425" y="15401930"/>
          <a:ext cx="600074" cy="581024"/>
        </a:xfrm>
        <a:prstGeom prst="rtTriangle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13</xdr:col>
      <xdr:colOff>48276</xdr:colOff>
      <xdr:row>76</xdr:row>
      <xdr:rowOff>189850</xdr:rowOff>
    </xdr:from>
    <xdr:to>
      <xdr:col>13</xdr:col>
      <xdr:colOff>292304</xdr:colOff>
      <xdr:row>78</xdr:row>
      <xdr:rowOff>130378</xdr:rowOff>
    </xdr:to>
    <xdr:sp macro="" textlink="">
      <xdr:nvSpPr>
        <xdr:cNvPr id="28" name="27 Triángulo rectángulo"/>
        <xdr:cNvSpPr/>
      </xdr:nvSpPr>
      <xdr:spPr>
        <a:xfrm rot="10600346">
          <a:off x="3886851" y="15391750"/>
          <a:ext cx="244028" cy="340578"/>
        </a:xfrm>
        <a:prstGeom prst="rtTriangle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5</xdr:col>
      <xdr:colOff>289787</xdr:colOff>
      <xdr:row>47</xdr:row>
      <xdr:rowOff>212747</xdr:rowOff>
    </xdr:from>
    <xdr:to>
      <xdr:col>8</xdr:col>
      <xdr:colOff>5167</xdr:colOff>
      <xdr:row>52</xdr:row>
      <xdr:rowOff>90049</xdr:rowOff>
    </xdr:to>
    <xdr:sp macro="" textlink="">
      <xdr:nvSpPr>
        <xdr:cNvPr id="29" name="28 Triángulo rectángulo"/>
        <xdr:cNvSpPr/>
      </xdr:nvSpPr>
      <xdr:spPr>
        <a:xfrm rot="10625442">
          <a:off x="1766162" y="9699647"/>
          <a:ext cx="601205" cy="925052"/>
        </a:xfrm>
        <a:prstGeom prst="rtTriangle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1</xdr:col>
      <xdr:colOff>278074</xdr:colOff>
      <xdr:row>39</xdr:row>
      <xdr:rowOff>191483</xdr:rowOff>
    </xdr:from>
    <xdr:to>
      <xdr:col>4</xdr:col>
      <xdr:colOff>5563</xdr:colOff>
      <xdr:row>42</xdr:row>
      <xdr:rowOff>190298</xdr:rowOff>
    </xdr:to>
    <xdr:sp macro="" textlink="">
      <xdr:nvSpPr>
        <xdr:cNvPr id="30" name="29 Triángulo rectángulo"/>
        <xdr:cNvSpPr/>
      </xdr:nvSpPr>
      <xdr:spPr>
        <a:xfrm rot="10961782">
          <a:off x="573349" y="7792433"/>
          <a:ext cx="613314" cy="598890"/>
        </a:xfrm>
        <a:prstGeom prst="rt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10</xdr:col>
      <xdr:colOff>247651</xdr:colOff>
      <xdr:row>25</xdr:row>
      <xdr:rowOff>180975</xdr:rowOff>
    </xdr:from>
    <xdr:to>
      <xdr:col>13</xdr:col>
      <xdr:colOff>38100</xdr:colOff>
      <xdr:row>28</xdr:row>
      <xdr:rowOff>36419</xdr:rowOff>
    </xdr:to>
    <xdr:sp macro="" textlink="">
      <xdr:nvSpPr>
        <xdr:cNvPr id="31" name="30 Triángulo rectángulo"/>
        <xdr:cNvSpPr/>
      </xdr:nvSpPr>
      <xdr:spPr>
        <a:xfrm>
          <a:off x="3200401" y="5181600"/>
          <a:ext cx="676274" cy="455519"/>
        </a:xfrm>
        <a:prstGeom prst="rt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>
            <a:ln>
              <a:solidFill>
                <a:schemeClr val="accent6">
                  <a:lumMod val="50000"/>
                </a:schemeClr>
              </a:solidFill>
            </a:ln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25</xdr:col>
      <xdr:colOff>47625</xdr:colOff>
      <xdr:row>3</xdr:row>
      <xdr:rowOff>152400</xdr:rowOff>
    </xdr:from>
    <xdr:to>
      <xdr:col>26</xdr:col>
      <xdr:colOff>32206</xdr:colOff>
      <xdr:row>6</xdr:row>
      <xdr:rowOff>26461</xdr:rowOff>
    </xdr:to>
    <xdr:sp macro="" textlink="">
      <xdr:nvSpPr>
        <xdr:cNvPr id="32" name="31 Triángulo rectángulo"/>
        <xdr:cNvSpPr/>
      </xdr:nvSpPr>
      <xdr:spPr>
        <a:xfrm rot="16200000">
          <a:off x="6741810" y="849615"/>
          <a:ext cx="474136" cy="279856"/>
        </a:xfrm>
        <a:prstGeom prst="rtTriangle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>
            <a:ln>
              <a:solidFill>
                <a:schemeClr val="accent6">
                  <a:lumMod val="50000"/>
                </a:schemeClr>
              </a:solidFill>
            </a:ln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27</xdr:col>
      <xdr:colOff>238125</xdr:colOff>
      <xdr:row>48</xdr:row>
      <xdr:rowOff>9525</xdr:rowOff>
    </xdr:from>
    <xdr:to>
      <xdr:col>28</xdr:col>
      <xdr:colOff>238125</xdr:colOff>
      <xdr:row>50</xdr:row>
      <xdr:rowOff>28574</xdr:rowOff>
    </xdr:to>
    <xdr:sp macro="" textlink="">
      <xdr:nvSpPr>
        <xdr:cNvPr id="33" name="32 Triángulo rectángulo"/>
        <xdr:cNvSpPr/>
      </xdr:nvSpPr>
      <xdr:spPr>
        <a:xfrm>
          <a:off x="7620000" y="9410700"/>
          <a:ext cx="295275" cy="419099"/>
        </a:xfrm>
        <a:prstGeom prst="rtTriangl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>
            <a:ln>
              <a:solidFill>
                <a:schemeClr val="accent6">
                  <a:lumMod val="50000"/>
                </a:schemeClr>
              </a:solidFill>
            </a:ln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27</xdr:col>
      <xdr:colOff>0</xdr:colOff>
      <xdr:row>44</xdr:row>
      <xdr:rowOff>0</xdr:rowOff>
    </xdr:from>
    <xdr:to>
      <xdr:col>28</xdr:col>
      <xdr:colOff>0</xdr:colOff>
      <xdr:row>46</xdr:row>
      <xdr:rowOff>19049</xdr:rowOff>
    </xdr:to>
    <xdr:sp macro="" textlink="">
      <xdr:nvSpPr>
        <xdr:cNvPr id="35" name="34 Triángulo rectángulo"/>
        <xdr:cNvSpPr/>
      </xdr:nvSpPr>
      <xdr:spPr>
        <a:xfrm>
          <a:off x="7381875" y="8601075"/>
          <a:ext cx="295275" cy="419099"/>
        </a:xfrm>
        <a:prstGeom prst="rt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>
            <a:ln>
              <a:solidFill>
                <a:schemeClr val="accent6">
                  <a:lumMod val="50000"/>
                </a:schemeClr>
              </a:solidFill>
            </a:ln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35</xdr:col>
      <xdr:colOff>274543</xdr:colOff>
      <xdr:row>17</xdr:row>
      <xdr:rowOff>160809</xdr:rowOff>
    </xdr:from>
    <xdr:to>
      <xdr:col>39</xdr:col>
      <xdr:colOff>179293</xdr:colOff>
      <xdr:row>22</xdr:row>
      <xdr:rowOff>35302</xdr:rowOff>
    </xdr:to>
    <xdr:sp macro="" textlink="">
      <xdr:nvSpPr>
        <xdr:cNvPr id="39" name="38 Triángulo rectángulo"/>
        <xdr:cNvSpPr/>
      </xdr:nvSpPr>
      <xdr:spPr>
        <a:xfrm rot="5400000">
          <a:off x="9646584" y="3529856"/>
          <a:ext cx="883022" cy="1002927"/>
        </a:xfrm>
        <a:prstGeom prst="rt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>
            <a:ln>
              <a:solidFill>
                <a:schemeClr val="accent6">
                  <a:lumMod val="50000"/>
                </a:schemeClr>
              </a:solidFill>
            </a:ln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26</xdr:col>
      <xdr:colOff>273350</xdr:colOff>
      <xdr:row>4</xdr:row>
      <xdr:rowOff>1</xdr:rowOff>
    </xdr:from>
    <xdr:to>
      <xdr:col>28</xdr:col>
      <xdr:colOff>24240</xdr:colOff>
      <xdr:row>5</xdr:row>
      <xdr:rowOff>43440</xdr:rowOff>
    </xdr:to>
    <xdr:sp macro="" textlink="">
      <xdr:nvSpPr>
        <xdr:cNvPr id="40" name="39 Triángulo rectángulo"/>
        <xdr:cNvSpPr/>
      </xdr:nvSpPr>
      <xdr:spPr>
        <a:xfrm>
          <a:off x="7359950" y="800101"/>
          <a:ext cx="341440" cy="243464"/>
        </a:xfrm>
        <a:prstGeom prst="rtTriangle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>
            <a:ln>
              <a:solidFill>
                <a:schemeClr val="accent6">
                  <a:lumMod val="50000"/>
                </a:schemeClr>
              </a:solidFill>
            </a:ln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37</xdr:col>
      <xdr:colOff>0</xdr:colOff>
      <xdr:row>8</xdr:row>
      <xdr:rowOff>9525</xdr:rowOff>
    </xdr:from>
    <xdr:to>
      <xdr:col>38</xdr:col>
      <xdr:colOff>46165</xdr:colOff>
      <xdr:row>9</xdr:row>
      <xdr:rowOff>52964</xdr:rowOff>
    </xdr:to>
    <xdr:sp macro="" textlink="">
      <xdr:nvSpPr>
        <xdr:cNvPr id="41" name="40 Triángulo rectángulo"/>
        <xdr:cNvSpPr/>
      </xdr:nvSpPr>
      <xdr:spPr>
        <a:xfrm>
          <a:off x="10125075" y="1609725"/>
          <a:ext cx="341440" cy="243464"/>
        </a:xfrm>
        <a:prstGeom prst="rt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>
            <a:ln>
              <a:solidFill>
                <a:schemeClr val="accent6">
                  <a:lumMod val="50000"/>
                </a:schemeClr>
              </a:solidFill>
            </a:ln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36</xdr:col>
      <xdr:colOff>0</xdr:colOff>
      <xdr:row>7</xdr:row>
      <xdr:rowOff>0</xdr:rowOff>
    </xdr:from>
    <xdr:to>
      <xdr:col>37</xdr:col>
      <xdr:colOff>46165</xdr:colOff>
      <xdr:row>8</xdr:row>
      <xdr:rowOff>43439</xdr:rowOff>
    </xdr:to>
    <xdr:sp macro="" textlink="">
      <xdr:nvSpPr>
        <xdr:cNvPr id="43" name="42 Triángulo rectángulo"/>
        <xdr:cNvSpPr/>
      </xdr:nvSpPr>
      <xdr:spPr>
        <a:xfrm>
          <a:off x="9829800" y="1400175"/>
          <a:ext cx="341440" cy="243464"/>
        </a:xfrm>
        <a:prstGeom prst="rt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>
            <a:ln>
              <a:solidFill>
                <a:schemeClr val="accent6">
                  <a:lumMod val="50000"/>
                </a:schemeClr>
              </a:solidFill>
            </a:ln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 editAs="oneCell">
    <xdr:from>
      <xdr:col>35</xdr:col>
      <xdr:colOff>0</xdr:colOff>
      <xdr:row>6</xdr:row>
      <xdr:rowOff>0</xdr:rowOff>
    </xdr:from>
    <xdr:to>
      <xdr:col>35</xdr:col>
      <xdr:colOff>28570</xdr:colOff>
      <xdr:row>6</xdr:row>
      <xdr:rowOff>24386</xdr:rowOff>
    </xdr:to>
    <xdr:pic>
      <xdr:nvPicPr>
        <xdr:cNvPr id="44" name="4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34525" y="1200150"/>
          <a:ext cx="24386" cy="24386"/>
        </a:xfrm>
        <a:prstGeom prst="rect">
          <a:avLst/>
        </a:prstGeom>
      </xdr:spPr>
    </xdr:pic>
    <xdr:clientData/>
  </xdr:twoCellAnchor>
  <xdr:twoCellAnchor>
    <xdr:from>
      <xdr:col>3</xdr:col>
      <xdr:colOff>224117</xdr:colOff>
      <xdr:row>20</xdr:row>
      <xdr:rowOff>112058</xdr:rowOff>
    </xdr:from>
    <xdr:to>
      <xdr:col>5</xdr:col>
      <xdr:colOff>0</xdr:colOff>
      <xdr:row>22</xdr:row>
      <xdr:rowOff>56030</xdr:rowOff>
    </xdr:to>
    <xdr:sp macro="" textlink="">
      <xdr:nvSpPr>
        <xdr:cNvPr id="45" name="44 Triángulo rectángulo"/>
        <xdr:cNvSpPr/>
      </xdr:nvSpPr>
      <xdr:spPr>
        <a:xfrm>
          <a:off x="1098176" y="4146176"/>
          <a:ext cx="358589" cy="347383"/>
        </a:xfrm>
        <a:prstGeom prst="rtTriangle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>
            <a:ln>
              <a:solidFill>
                <a:schemeClr val="accent6">
                  <a:lumMod val="50000"/>
                </a:schemeClr>
              </a:solidFill>
            </a:ln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7</xdr:col>
      <xdr:colOff>260219</xdr:colOff>
      <xdr:row>21</xdr:row>
      <xdr:rowOff>189698</xdr:rowOff>
    </xdr:from>
    <xdr:to>
      <xdr:col>9</xdr:col>
      <xdr:colOff>15232</xdr:colOff>
      <xdr:row>23</xdr:row>
      <xdr:rowOff>16913</xdr:rowOff>
    </xdr:to>
    <xdr:sp macro="" textlink="">
      <xdr:nvSpPr>
        <xdr:cNvPr id="46" name="45 Triángulo rectángulo"/>
        <xdr:cNvSpPr/>
      </xdr:nvSpPr>
      <xdr:spPr>
        <a:xfrm>
          <a:off x="2327144" y="4390223"/>
          <a:ext cx="345563" cy="227265"/>
        </a:xfrm>
        <a:prstGeom prst="rtTriangle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7</xdr:col>
      <xdr:colOff>146271</xdr:colOff>
      <xdr:row>23</xdr:row>
      <xdr:rowOff>3594</xdr:rowOff>
    </xdr:from>
    <xdr:to>
      <xdr:col>8</xdr:col>
      <xdr:colOff>286110</xdr:colOff>
      <xdr:row>24</xdr:row>
      <xdr:rowOff>148430</xdr:rowOff>
    </xdr:to>
    <xdr:sp macro="" textlink="">
      <xdr:nvSpPr>
        <xdr:cNvPr id="47" name="46 Triángulo rectángulo"/>
        <xdr:cNvSpPr/>
      </xdr:nvSpPr>
      <xdr:spPr>
        <a:xfrm rot="19651853">
          <a:off x="2213196" y="4604169"/>
          <a:ext cx="435114" cy="344861"/>
        </a:xfrm>
        <a:prstGeom prst="rtTriangle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16</xdr:col>
      <xdr:colOff>291352</xdr:colOff>
      <xdr:row>52</xdr:row>
      <xdr:rowOff>78441</xdr:rowOff>
    </xdr:from>
    <xdr:to>
      <xdr:col>18</xdr:col>
      <xdr:colOff>23747</xdr:colOff>
      <xdr:row>54</xdr:row>
      <xdr:rowOff>12747</xdr:rowOff>
    </xdr:to>
    <xdr:sp macro="" textlink="">
      <xdr:nvSpPr>
        <xdr:cNvPr id="48" name="47 Triángulo rectángulo"/>
        <xdr:cNvSpPr/>
      </xdr:nvSpPr>
      <xdr:spPr>
        <a:xfrm rot="16387356">
          <a:off x="5010047" y="10694996"/>
          <a:ext cx="334356" cy="322945"/>
        </a:xfrm>
        <a:prstGeom prst="rt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15</xdr:col>
      <xdr:colOff>11208</xdr:colOff>
      <xdr:row>54</xdr:row>
      <xdr:rowOff>67236</xdr:rowOff>
    </xdr:from>
    <xdr:to>
      <xdr:col>16</xdr:col>
      <xdr:colOff>34956</xdr:colOff>
      <xdr:row>56</xdr:row>
      <xdr:rowOff>1542</xdr:rowOff>
    </xdr:to>
    <xdr:sp macro="" textlink="">
      <xdr:nvSpPr>
        <xdr:cNvPr id="49" name="48 Triángulo rectángulo"/>
        <xdr:cNvSpPr/>
      </xdr:nvSpPr>
      <xdr:spPr>
        <a:xfrm rot="16387356">
          <a:off x="4370194" y="11049103"/>
          <a:ext cx="337718" cy="315101"/>
        </a:xfrm>
        <a:prstGeom prst="rt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31</xdr:col>
      <xdr:colOff>214591</xdr:colOff>
      <xdr:row>59</xdr:row>
      <xdr:rowOff>145678</xdr:rowOff>
    </xdr:from>
    <xdr:to>
      <xdr:col>32</xdr:col>
      <xdr:colOff>257735</xdr:colOff>
      <xdr:row>61</xdr:row>
      <xdr:rowOff>104776</xdr:rowOff>
    </xdr:to>
    <xdr:sp macro="" textlink="">
      <xdr:nvSpPr>
        <xdr:cNvPr id="50" name="49 Triángulo rectángulo"/>
        <xdr:cNvSpPr/>
      </xdr:nvSpPr>
      <xdr:spPr>
        <a:xfrm rot="5400000">
          <a:off x="8380879" y="12172390"/>
          <a:ext cx="362510" cy="267261"/>
        </a:xfrm>
        <a:prstGeom prst="rtTriangle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>
            <a:ln>
              <a:solidFill>
                <a:schemeClr val="accent6">
                  <a:lumMod val="50000"/>
                </a:schemeClr>
              </a:solidFill>
            </a:ln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32</xdr:col>
      <xdr:colOff>282700</xdr:colOff>
      <xdr:row>26</xdr:row>
      <xdr:rowOff>41146</xdr:rowOff>
    </xdr:from>
    <xdr:to>
      <xdr:col>36</xdr:col>
      <xdr:colOff>16000</xdr:colOff>
      <xdr:row>31</xdr:row>
      <xdr:rowOff>35050</xdr:rowOff>
    </xdr:to>
    <xdr:sp macro="" textlink="">
      <xdr:nvSpPr>
        <xdr:cNvPr id="52" name="51 Triángulo isósceles"/>
        <xdr:cNvSpPr/>
      </xdr:nvSpPr>
      <xdr:spPr>
        <a:xfrm rot="7783986">
          <a:off x="8743948" y="5314948"/>
          <a:ext cx="1060704" cy="914400"/>
        </a:xfrm>
        <a:prstGeom prst="triangle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33</xdr:col>
      <xdr:colOff>206419</xdr:colOff>
      <xdr:row>22</xdr:row>
      <xdr:rowOff>40114</xdr:rowOff>
    </xdr:from>
    <xdr:to>
      <xdr:col>36</xdr:col>
      <xdr:colOff>234994</xdr:colOff>
      <xdr:row>30</xdr:row>
      <xdr:rowOff>2440</xdr:rowOff>
    </xdr:to>
    <xdr:sp macro="" textlink="">
      <xdr:nvSpPr>
        <xdr:cNvPr id="53" name="52 Triángulo isósceles"/>
        <xdr:cNvSpPr/>
      </xdr:nvSpPr>
      <xdr:spPr>
        <a:xfrm rot="8040318">
          <a:off x="8678693" y="4798065"/>
          <a:ext cx="1629201" cy="914400"/>
        </a:xfrm>
        <a:prstGeom prst="triangle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22</xdr:col>
      <xdr:colOff>212703</xdr:colOff>
      <xdr:row>66</xdr:row>
      <xdr:rowOff>113458</xdr:rowOff>
    </xdr:from>
    <xdr:to>
      <xdr:col>27</xdr:col>
      <xdr:colOff>44573</xdr:colOff>
      <xdr:row>70</xdr:row>
      <xdr:rowOff>31139</xdr:rowOff>
    </xdr:to>
    <xdr:sp macro="" textlink="">
      <xdr:nvSpPr>
        <xdr:cNvPr id="38" name="37 Triángulo isósceles"/>
        <xdr:cNvSpPr/>
      </xdr:nvSpPr>
      <xdr:spPr>
        <a:xfrm rot="8596653">
          <a:off x="6708753" y="13448458"/>
          <a:ext cx="717695" cy="917806"/>
        </a:xfrm>
        <a:prstGeom prst="triangle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29</xdr:col>
      <xdr:colOff>133136</xdr:colOff>
      <xdr:row>47</xdr:row>
      <xdr:rowOff>189914</xdr:rowOff>
    </xdr:from>
    <xdr:to>
      <xdr:col>33</xdr:col>
      <xdr:colOff>95036</xdr:colOff>
      <xdr:row>53</xdr:row>
      <xdr:rowOff>50879</xdr:rowOff>
    </xdr:to>
    <xdr:sp macro="" textlink="">
      <xdr:nvSpPr>
        <xdr:cNvPr id="34" name="33 Triángulo isósceles"/>
        <xdr:cNvSpPr/>
      </xdr:nvSpPr>
      <xdr:spPr>
        <a:xfrm rot="2851799">
          <a:off x="7913141" y="9773984"/>
          <a:ext cx="1108740" cy="914400"/>
        </a:xfrm>
        <a:prstGeom prst="triangle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G194"/>
  <sheetViews>
    <sheetView tabSelected="1" topLeftCell="G30" zoomScaleNormal="100" workbookViewId="0">
      <selection activeCell="U57" sqref="U57"/>
    </sheetView>
  </sheetViews>
  <sheetFormatPr baseColWidth="10" defaultColWidth="4.42578125" defaultRowHeight="15.75" customHeight="1"/>
  <cols>
    <col min="1" max="16" width="4.42578125" style="9"/>
    <col min="17" max="18" width="4.42578125" style="9" customWidth="1"/>
    <col min="19" max="19" width="5" style="9" customWidth="1"/>
    <col min="20" max="21" width="4.42578125" style="9"/>
    <col min="22" max="22" width="5" style="9" customWidth="1"/>
    <col min="23" max="25" width="3.28515625" style="9" customWidth="1"/>
    <col min="26" max="26" width="3.7109375" style="9" customWidth="1"/>
    <col min="27" max="27" width="4.42578125" style="9"/>
    <col min="28" max="28" width="2.42578125" style="9" customWidth="1"/>
    <col min="29" max="29" width="5" style="9" customWidth="1"/>
    <col min="30" max="30" width="3.5703125" style="9" customWidth="1"/>
    <col min="31" max="31" width="3" style="9" customWidth="1"/>
    <col min="32" max="32" width="3.28515625" style="9" customWidth="1"/>
    <col min="33" max="38" width="4.42578125" style="9"/>
    <col min="39" max="39" width="3.42578125" style="9" customWidth="1"/>
    <col min="40" max="40" width="2.85546875" style="9" customWidth="1"/>
    <col min="41" max="41" width="3" style="9" customWidth="1"/>
    <col min="42" max="49" width="4.42578125" style="9"/>
    <col min="50" max="50" width="31.42578125" style="9" customWidth="1"/>
    <col min="51" max="51" width="6" style="9" customWidth="1"/>
    <col min="52" max="54" width="4.42578125" style="9"/>
    <col min="55" max="55" width="33.42578125" style="9" bestFit="1" customWidth="1"/>
    <col min="56" max="68" width="4.42578125" style="9"/>
    <col min="69" max="69" width="29.85546875" style="9" bestFit="1" customWidth="1"/>
    <col min="70" max="70" width="13" style="9" bestFit="1" customWidth="1"/>
    <col min="71" max="71" width="4.42578125" style="9"/>
    <col min="72" max="72" width="4.42578125" style="127"/>
    <col min="73" max="73" width="4.42578125" style="9"/>
    <col min="74" max="74" width="33.42578125" style="9" bestFit="1" customWidth="1"/>
    <col min="75" max="75" width="21.5703125" style="9" bestFit="1" customWidth="1"/>
    <col min="76" max="77" width="4.42578125" style="9"/>
    <col min="78" max="78" width="27" style="9" bestFit="1" customWidth="1"/>
    <col min="79" max="79" width="21.5703125" style="9" bestFit="1" customWidth="1"/>
    <col min="80" max="89" width="4.42578125" style="9"/>
    <col min="90" max="90" width="9.5703125" style="9" customWidth="1"/>
    <col min="91" max="94" width="4.42578125" style="9"/>
  </cols>
  <sheetData>
    <row r="2" spans="3:111" ht="15.75" customHeight="1">
      <c r="BZ2" t="s">
        <v>0</v>
      </c>
      <c r="CA2" t="s">
        <v>1</v>
      </c>
      <c r="CC2" s="9" t="s">
        <v>90</v>
      </c>
      <c r="CD2" s="9" t="s">
        <v>79</v>
      </c>
    </row>
    <row r="3" spans="3:111" ht="15.75" customHeight="1">
      <c r="BU3" s="9">
        <v>3</v>
      </c>
      <c r="BV3" t="s">
        <v>5</v>
      </c>
      <c r="BW3" t="s">
        <v>6</v>
      </c>
      <c r="BZ3" t="s">
        <v>5</v>
      </c>
      <c r="CA3" t="s">
        <v>6</v>
      </c>
      <c r="CC3" s="9" t="s">
        <v>90</v>
      </c>
      <c r="CD3" t="s">
        <v>5</v>
      </c>
    </row>
    <row r="4" spans="3:111" ht="15.75" customHeight="1">
      <c r="BU4" s="9">
        <f>BU3+1</f>
        <v>4</v>
      </c>
      <c r="BV4" t="s">
        <v>7</v>
      </c>
      <c r="BW4" t="s">
        <v>8</v>
      </c>
      <c r="BZ4" t="s">
        <v>7</v>
      </c>
      <c r="CA4" t="s">
        <v>8</v>
      </c>
      <c r="CC4" s="9" t="s">
        <v>90</v>
      </c>
      <c r="CD4" s="9" t="s">
        <v>80</v>
      </c>
    </row>
    <row r="5" spans="3:111" ht="15.7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40"/>
      <c r="AB5" s="3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9">
        <f t="shared" ref="BU5:BU35" si="0">BU4+1</f>
        <v>5</v>
      </c>
      <c r="BV5" t="s">
        <v>9</v>
      </c>
      <c r="BW5" t="s">
        <v>10</v>
      </c>
      <c r="BZ5" t="s">
        <v>9</v>
      </c>
      <c r="CA5" t="s">
        <v>10</v>
      </c>
      <c r="CC5" s="9" t="s">
        <v>90</v>
      </c>
      <c r="CD5" t="s">
        <v>7</v>
      </c>
      <c r="CP5" s="8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3"/>
      <c r="DD5" s="3"/>
      <c r="DE5" s="3"/>
      <c r="DF5" s="3"/>
      <c r="DG5" s="4"/>
    </row>
    <row r="6" spans="3:111" ht="15.75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40"/>
      <c r="AB6" s="40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9">
        <f t="shared" si="0"/>
        <v>6</v>
      </c>
      <c r="BV6" t="s">
        <v>11</v>
      </c>
      <c r="BW6" t="s">
        <v>12</v>
      </c>
      <c r="BZ6" t="s">
        <v>11</v>
      </c>
      <c r="CA6" t="s">
        <v>12</v>
      </c>
      <c r="CC6" s="9" t="s">
        <v>90</v>
      </c>
      <c r="CD6" s="9" t="s">
        <v>81</v>
      </c>
      <c r="CP6" s="8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3"/>
      <c r="DD6" s="3"/>
      <c r="DE6" s="3"/>
      <c r="DF6" s="3"/>
      <c r="DG6" s="4"/>
    </row>
    <row r="7" spans="3:111" ht="15.7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39"/>
      <c r="V7" s="39"/>
      <c r="W7" s="216"/>
      <c r="X7" s="40"/>
      <c r="Y7" s="40"/>
      <c r="Z7" s="40"/>
      <c r="AA7" s="40"/>
      <c r="AB7" s="40"/>
      <c r="AC7" s="40"/>
      <c r="AD7" s="40"/>
      <c r="AE7" s="40"/>
      <c r="AF7" s="40"/>
      <c r="AG7" s="217"/>
      <c r="AH7" s="42"/>
      <c r="AI7" s="42"/>
      <c r="AJ7" s="42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9">
        <f t="shared" si="0"/>
        <v>7</v>
      </c>
      <c r="BV7" t="s">
        <v>13</v>
      </c>
      <c r="BW7" t="s">
        <v>14</v>
      </c>
      <c r="BZ7" t="s">
        <v>13</v>
      </c>
      <c r="CA7" t="s">
        <v>14</v>
      </c>
      <c r="CC7" s="9" t="s">
        <v>90</v>
      </c>
      <c r="CD7" t="s">
        <v>9</v>
      </c>
      <c r="CP7" s="8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3"/>
      <c r="DD7" s="3"/>
      <c r="DE7" s="3"/>
      <c r="DF7" s="3"/>
      <c r="DG7" s="4"/>
    </row>
    <row r="8" spans="3:111" ht="15.75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9"/>
      <c r="V8" s="39"/>
      <c r="W8" s="40"/>
      <c r="X8" s="40"/>
      <c r="Y8" s="40"/>
      <c r="Z8" s="40"/>
      <c r="AA8" s="40"/>
      <c r="AB8" s="40"/>
      <c r="AC8" s="192"/>
      <c r="AD8" s="40"/>
      <c r="AE8" s="40"/>
      <c r="AF8" s="40"/>
      <c r="AG8" s="42"/>
      <c r="AH8" s="42"/>
      <c r="AI8" s="42"/>
      <c r="AJ8" s="42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9">
        <f t="shared" si="0"/>
        <v>8</v>
      </c>
      <c r="BV8" t="s">
        <v>15</v>
      </c>
      <c r="BW8" t="s">
        <v>16</v>
      </c>
      <c r="BZ8" t="s">
        <v>15</v>
      </c>
      <c r="CA8" t="s">
        <v>16</v>
      </c>
      <c r="CC8" s="9" t="s">
        <v>90</v>
      </c>
      <c r="CD8" s="9" t="s">
        <v>91</v>
      </c>
      <c r="CP8" s="8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3"/>
      <c r="DD8" s="3"/>
      <c r="DE8" s="3"/>
      <c r="DF8" s="3"/>
      <c r="DG8" s="4"/>
    </row>
    <row r="9" spans="3:111" ht="15.7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39"/>
      <c r="X9" s="39"/>
      <c r="Y9" s="39"/>
      <c r="Z9" s="39"/>
      <c r="AA9" s="144" t="str">
        <f>IF($AC$8=Dades!$E$22,"O","")</f>
        <v/>
      </c>
      <c r="AB9" s="40"/>
      <c r="AC9" s="144" t="str">
        <f>IF($AC$8=Dades!$E$22,"Morella","")</f>
        <v/>
      </c>
      <c r="AD9" s="40"/>
      <c r="AE9" s="40"/>
      <c r="AF9" s="40"/>
      <c r="AG9" s="40"/>
      <c r="AH9" s="42"/>
      <c r="AI9" s="107" t="str">
        <f>IF($AJ$11=Dades!$E$9,"Molt bé!!!","")</f>
        <v/>
      </c>
      <c r="AJ9" s="42"/>
      <c r="AK9" s="42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136" t="s">
        <v>71</v>
      </c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9">
        <f t="shared" si="0"/>
        <v>9</v>
      </c>
      <c r="BV9" t="s">
        <v>17</v>
      </c>
      <c r="BW9" t="s">
        <v>18</v>
      </c>
      <c r="BZ9" t="s">
        <v>17</v>
      </c>
      <c r="CA9" t="s">
        <v>18</v>
      </c>
      <c r="CC9" s="9" t="s">
        <v>90</v>
      </c>
      <c r="CD9" t="s">
        <v>11</v>
      </c>
      <c r="CP9" s="8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3"/>
      <c r="DD9" s="3"/>
      <c r="DE9" s="3"/>
      <c r="DF9" s="3"/>
      <c r="DG9" s="4"/>
    </row>
    <row r="10" spans="3:111" ht="15.75" customHeight="1" thickBo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9"/>
      <c r="X10" s="39"/>
      <c r="Y10" s="39"/>
      <c r="Z10" s="39"/>
      <c r="AA10" s="40"/>
      <c r="AB10" s="40"/>
      <c r="AC10" s="106"/>
      <c r="AD10" s="40"/>
      <c r="AE10" s="40"/>
      <c r="AF10" s="40"/>
      <c r="AG10" s="40"/>
      <c r="AH10" s="42"/>
      <c r="AI10" s="42"/>
      <c r="AJ10" s="42"/>
      <c r="AK10" s="42"/>
      <c r="AL10" s="42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Y10" s="8"/>
      <c r="AZ10" s="8"/>
      <c r="BA10" s="8"/>
      <c r="BB10" s="8"/>
      <c r="BC10" s="8" t="s">
        <v>4</v>
      </c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9">
        <f t="shared" si="0"/>
        <v>10</v>
      </c>
      <c r="BV10" t="s">
        <v>19</v>
      </c>
      <c r="BW10" t="s">
        <v>20</v>
      </c>
      <c r="BZ10" t="s">
        <v>19</v>
      </c>
      <c r="CA10" t="s">
        <v>20</v>
      </c>
      <c r="CC10" s="9" t="s">
        <v>90</v>
      </c>
      <c r="CD10" s="9" t="s">
        <v>82</v>
      </c>
      <c r="CP10" s="8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3"/>
      <c r="DD10" s="3"/>
      <c r="DE10" s="3"/>
      <c r="DF10" s="3"/>
      <c r="DG10" s="4"/>
    </row>
    <row r="11" spans="3:111" ht="15.75" customHeight="1" thickBo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40"/>
      <c r="AB11" s="40"/>
      <c r="AC11" s="106"/>
      <c r="AD11" s="40"/>
      <c r="AE11" s="40"/>
      <c r="AF11" s="40"/>
      <c r="AG11" s="42"/>
      <c r="AH11" s="42"/>
      <c r="AI11" s="42"/>
      <c r="AJ11" s="193"/>
      <c r="AK11" s="42"/>
      <c r="AL11" s="42"/>
      <c r="AM11" s="42"/>
      <c r="AN11" s="42"/>
      <c r="AO11" s="42"/>
      <c r="AP11" s="95"/>
      <c r="AQ11" s="95"/>
      <c r="AR11" s="95"/>
      <c r="AS11" s="95"/>
      <c r="AT11" s="8"/>
      <c r="AU11" s="8"/>
      <c r="AV11" s="8"/>
      <c r="AW11" s="8"/>
      <c r="AX11" s="135" t="str">
        <f ca="1">INDEX($BC$12:$BC$46,RANDBETWEEN(1,COUNTA($BC$12:$BC$46)),1)</f>
        <v>VALÈNCIA</v>
      </c>
      <c r="AY11" s="8"/>
      <c r="AZ11" s="8"/>
      <c r="BA11" s="8"/>
      <c r="BB11" s="8"/>
      <c r="BC11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>
        <f t="shared" si="0"/>
        <v>11</v>
      </c>
      <c r="BV11" t="s">
        <v>21</v>
      </c>
      <c r="BW11" t="s">
        <v>22</v>
      </c>
      <c r="BZ11" t="s">
        <v>21</v>
      </c>
      <c r="CA11" t="s">
        <v>22</v>
      </c>
      <c r="CC11" s="9" t="s">
        <v>90</v>
      </c>
      <c r="CD11" t="s">
        <v>13</v>
      </c>
      <c r="CP11" s="8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3"/>
      <c r="DD11" s="3"/>
      <c r="DE11" s="3"/>
      <c r="DF11" s="3"/>
      <c r="DG11" s="4"/>
    </row>
    <row r="12" spans="3:111" ht="15.75" customHeight="1" thickBo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40"/>
      <c r="AB12" s="40"/>
      <c r="AC12" s="40"/>
      <c r="AD12" s="40"/>
      <c r="AE12" s="40"/>
      <c r="AF12" s="40"/>
      <c r="AG12" s="42"/>
      <c r="AH12" s="42"/>
      <c r="AI12" s="42"/>
      <c r="AJ12" s="42"/>
      <c r="AK12" s="42"/>
      <c r="AL12" s="42"/>
      <c r="AM12" s="42"/>
      <c r="AN12" s="42"/>
      <c r="AO12" s="42"/>
      <c r="AP12" s="95"/>
      <c r="AQ12" s="95"/>
      <c r="AR12" s="95"/>
      <c r="AS12" s="95"/>
      <c r="AT12" s="8"/>
      <c r="AU12" s="8"/>
      <c r="AV12" s="8"/>
      <c r="AW12" s="8"/>
      <c r="AX12" s="135" t="str">
        <f t="shared" ref="AX12:AX14" ca="1" si="1">INDEX($BC$12:$BC$46,RANDBETWEEN(1,COUNTA($BC$12:$BC$46)),1)</f>
        <v>LA MARINA BAIXA</v>
      </c>
      <c r="AY12" s="8"/>
      <c r="AZ12" s="8"/>
      <c r="BA12" s="8"/>
      <c r="BB12" s="8"/>
      <c r="BC12" s="141" t="str">
        <f>IF($AC$8=Dades!E22," ","ELS PORTS")</f>
        <v>ELS PORTS</v>
      </c>
      <c r="BD12" s="8"/>
      <c r="BE12" s="8"/>
      <c r="BF12" s="8"/>
      <c r="BG12" s="8"/>
      <c r="BH12" s="8" t="str">
        <f>IF($BC12=0,1,"")</f>
        <v/>
      </c>
      <c r="BI12" s="8"/>
      <c r="BJ12" s="8"/>
      <c r="BK12" s="8"/>
      <c r="BL12" s="8"/>
      <c r="BM12" s="8"/>
      <c r="BN12" s="8"/>
      <c r="BO12" s="8"/>
      <c r="BP12" s="8"/>
      <c r="BQ12" s="8" t="str">
        <f>BC12</f>
        <v>ELS PORTS</v>
      </c>
      <c r="BR12" s="8" t="str">
        <f>IF(AC8=BV23,1,"")</f>
        <v/>
      </c>
      <c r="BS12" s="8"/>
      <c r="BT12" s="8"/>
      <c r="BU12" s="9">
        <f t="shared" si="0"/>
        <v>12</v>
      </c>
      <c r="BV12" t="s">
        <v>68</v>
      </c>
      <c r="BW12" t="s">
        <v>23</v>
      </c>
      <c r="BZ12" t="s">
        <v>68</v>
      </c>
      <c r="CA12" t="s">
        <v>23</v>
      </c>
      <c r="CC12" s="9" t="s">
        <v>90</v>
      </c>
      <c r="CD12" s="9" t="s">
        <v>73</v>
      </c>
      <c r="CP12" s="8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3"/>
      <c r="DD12" s="3"/>
      <c r="DE12" s="3"/>
      <c r="DF12" s="3"/>
      <c r="DG12" s="4"/>
    </row>
    <row r="13" spans="3:111" ht="15.75" customHeight="1" thickBo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18"/>
      <c r="X13" s="44"/>
      <c r="Y13" s="44"/>
      <c r="Z13" s="44"/>
      <c r="AA13" s="194"/>
      <c r="AB13" s="44"/>
      <c r="AC13" s="44"/>
      <c r="AD13" s="44"/>
      <c r="AE13" s="44"/>
      <c r="AF13" s="44"/>
      <c r="AG13" s="44"/>
      <c r="AH13" s="42"/>
      <c r="AI13" s="42"/>
      <c r="AJ13" s="107"/>
      <c r="AK13" s="143" t="str">
        <f>IF($AJ$11=Dades!$E$9,"Vinaròs","")</f>
        <v/>
      </c>
      <c r="AL13" s="42"/>
      <c r="AM13" s="42"/>
      <c r="AN13" s="143" t="str">
        <f>IF($AJ$11=Dades!$E$9,"O","")</f>
        <v/>
      </c>
      <c r="AO13" s="95"/>
      <c r="AP13" s="95"/>
      <c r="AQ13" s="95"/>
      <c r="AR13" s="95"/>
      <c r="AS13" s="95"/>
      <c r="AT13" s="8"/>
      <c r="AU13" s="8"/>
      <c r="AV13" s="8"/>
      <c r="AW13" s="8"/>
      <c r="AX13" s="135" t="str">
        <f t="shared" ca="1" si="1"/>
        <v>L'HORTA OEST</v>
      </c>
      <c r="AY13" s="8"/>
      <c r="AZ13" s="8"/>
      <c r="BA13" s="8"/>
      <c r="BB13" s="8"/>
      <c r="BC13" s="141" t="str">
        <f>IF($AA13=Dades!E5," ","L'ALT MAESTRAT")</f>
        <v>L'ALT MAESTRAT</v>
      </c>
      <c r="BD13" s="8"/>
      <c r="BE13" s="8"/>
      <c r="BF13" s="8"/>
      <c r="BG13" s="8"/>
      <c r="BH13" s="8" t="str">
        <f t="shared" ref="BH13:BH39" si="2">IF($BC13=0,1,"")</f>
        <v/>
      </c>
      <c r="BI13" s="8"/>
      <c r="BJ13" s="8"/>
      <c r="BK13" s="8"/>
      <c r="BL13" s="8"/>
      <c r="BM13" s="8"/>
      <c r="BN13" s="8"/>
      <c r="BO13" s="8"/>
      <c r="BP13" s="8"/>
      <c r="BQ13" s="8" t="str">
        <f>BC13</f>
        <v>L'ALT MAESTRAT</v>
      </c>
      <c r="BR13" s="8" t="str">
        <f>IF(AA13=BV6,1,"")</f>
        <v/>
      </c>
      <c r="BS13" s="8"/>
      <c r="BT13" s="8"/>
      <c r="BU13" s="9">
        <f t="shared" si="0"/>
        <v>13</v>
      </c>
      <c r="BV13" t="s">
        <v>24</v>
      </c>
      <c r="BW13" t="s">
        <v>25</v>
      </c>
      <c r="BZ13" t="s">
        <v>24</v>
      </c>
      <c r="CA13" t="s">
        <v>25</v>
      </c>
      <c r="CC13" s="9" t="s">
        <v>90</v>
      </c>
      <c r="CD13" t="s">
        <v>15</v>
      </c>
      <c r="CP13" s="8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3"/>
      <c r="DD13" s="3"/>
      <c r="DE13" s="3"/>
      <c r="DF13" s="3"/>
      <c r="DG13" s="4"/>
    </row>
    <row r="14" spans="3:111" ht="15.75" customHeight="1" thickBo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2"/>
      <c r="AI14" s="42"/>
      <c r="AJ14" s="42"/>
      <c r="AK14" s="42"/>
      <c r="AL14" s="42"/>
      <c r="AM14" s="42"/>
      <c r="AN14" s="42"/>
      <c r="AO14" s="95"/>
      <c r="AP14" s="95"/>
      <c r="AQ14" s="95"/>
      <c r="AR14" s="95"/>
      <c r="AS14" s="95"/>
      <c r="AT14" s="8"/>
      <c r="AU14" s="8"/>
      <c r="AV14" s="8"/>
      <c r="AW14" s="8"/>
      <c r="AX14" s="135" t="str">
        <f t="shared" ca="1" si="1"/>
        <v>L'HORTA NORD</v>
      </c>
      <c r="AY14" s="8"/>
      <c r="AZ14" s="8"/>
      <c r="BA14" s="8"/>
      <c r="BB14" s="8"/>
      <c r="BC14" s="141" t="str">
        <f>IF($AJ11=Dades!E9," ","EL BAIX MAESTRAT")</f>
        <v>EL BAIX MAESTRAT</v>
      </c>
      <c r="BD14" s="8"/>
      <c r="BE14" s="8"/>
      <c r="BF14" s="8"/>
      <c r="BG14" s="8"/>
      <c r="BH14" s="8" t="str">
        <f t="shared" si="2"/>
        <v/>
      </c>
      <c r="BI14" s="8"/>
      <c r="BJ14" s="8"/>
      <c r="BK14" s="8"/>
      <c r="BL14" s="8"/>
      <c r="BM14" s="8"/>
      <c r="BN14" s="8"/>
      <c r="BO14" s="8"/>
      <c r="BP14" s="8"/>
      <c r="BQ14" s="8" t="str">
        <f t="shared" ref="BQ14:BQ46" si="3">BC14</f>
        <v>EL BAIX MAESTRAT</v>
      </c>
      <c r="BR14" s="8" t="str">
        <f>IF(AJ11=BV10,1,"")</f>
        <v/>
      </c>
      <c r="BS14" s="8"/>
      <c r="BT14" s="8"/>
      <c r="BU14" s="9">
        <f t="shared" si="0"/>
        <v>14</v>
      </c>
      <c r="BV14" t="s">
        <v>26</v>
      </c>
      <c r="BW14" t="s">
        <v>27</v>
      </c>
      <c r="BZ14" t="s">
        <v>26</v>
      </c>
      <c r="CA14" t="s">
        <v>27</v>
      </c>
      <c r="CC14" s="9" t="s">
        <v>90</v>
      </c>
      <c r="CD14" s="9" t="s">
        <v>83</v>
      </c>
      <c r="CP14" s="8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3"/>
      <c r="DD14" s="3"/>
      <c r="DE14" s="3"/>
      <c r="DF14" s="3"/>
      <c r="DG14" s="4"/>
    </row>
    <row r="15" spans="3:111" ht="15.7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44"/>
      <c r="X15" s="44"/>
      <c r="Y15" s="44"/>
      <c r="Z15" s="44"/>
      <c r="AA15" s="118"/>
      <c r="AB15" s="44"/>
      <c r="AC15" s="44"/>
      <c r="AD15" s="44"/>
      <c r="AE15" s="44"/>
      <c r="AF15" s="44"/>
      <c r="AG15" s="44"/>
      <c r="AH15" s="42"/>
      <c r="AI15" s="42"/>
      <c r="AJ15" s="42"/>
      <c r="AK15" s="42"/>
      <c r="AL15" s="42"/>
      <c r="AM15" s="42"/>
      <c r="AN15" s="42"/>
      <c r="AO15" s="95"/>
      <c r="AP15" s="95"/>
      <c r="AQ15" s="95"/>
      <c r="AR15" s="95"/>
      <c r="AS15" s="95"/>
      <c r="AT15" s="8"/>
      <c r="AU15" s="8"/>
      <c r="AV15" s="8"/>
      <c r="AW15" s="8"/>
      <c r="AX15" s="8"/>
      <c r="AY15" s="8"/>
      <c r="AZ15" s="8"/>
      <c r="BA15" s="8"/>
      <c r="BB15" s="8"/>
      <c r="BC15" s="141" t="str">
        <f>IF($W$19=Dades!E4," ","L'ALCALATÉN")</f>
        <v>L'ALCALATÉN</v>
      </c>
      <c r="BD15" s="8"/>
      <c r="BE15" s="8"/>
      <c r="BF15" s="8"/>
      <c r="BG15" s="8"/>
      <c r="BH15" s="8" t="str">
        <f t="shared" si="2"/>
        <v/>
      </c>
      <c r="BI15" s="8"/>
      <c r="BJ15" s="8"/>
      <c r="BK15" s="8"/>
      <c r="BL15" s="8"/>
      <c r="BM15" s="8"/>
      <c r="BN15" s="8"/>
      <c r="BO15" s="8"/>
      <c r="BP15" s="8"/>
      <c r="BQ15" s="8" t="str">
        <f t="shared" si="3"/>
        <v>L'ALCALATÉN</v>
      </c>
      <c r="BR15" s="8" t="str">
        <f>IF(W19=BV5,1,"")</f>
        <v/>
      </c>
      <c r="BS15" s="8"/>
      <c r="BT15" s="8"/>
      <c r="BU15" s="9">
        <f t="shared" si="0"/>
        <v>15</v>
      </c>
      <c r="BV15" t="s">
        <v>115</v>
      </c>
      <c r="BW15" t="s">
        <v>29</v>
      </c>
      <c r="BZ15" t="s">
        <v>115</v>
      </c>
      <c r="CA15" t="s">
        <v>29</v>
      </c>
      <c r="CC15" s="9" t="s">
        <v>90</v>
      </c>
      <c r="CD15" t="s">
        <v>17</v>
      </c>
      <c r="CP15" s="8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3"/>
      <c r="DD15" s="3"/>
      <c r="DE15" s="3"/>
      <c r="DF15" s="3"/>
      <c r="DG15" s="4"/>
    </row>
    <row r="16" spans="3:111" ht="15.75" customHeight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44"/>
      <c r="X16" s="44"/>
      <c r="Y16" s="44"/>
      <c r="Z16" s="44"/>
      <c r="AA16" s="44"/>
      <c r="AB16" s="44"/>
      <c r="AC16" s="145" t="str">
        <f>IF($AA$13=Dades!$E$5,"Albocàsser","")</f>
        <v/>
      </c>
      <c r="AD16" s="44"/>
      <c r="AE16" s="44"/>
      <c r="AF16" s="44"/>
      <c r="AG16" s="44"/>
      <c r="AH16" s="42"/>
      <c r="AI16" s="42"/>
      <c r="AJ16" s="42"/>
      <c r="AK16" s="143"/>
      <c r="AL16" s="42"/>
      <c r="AM16" s="42"/>
      <c r="AN16" s="107"/>
      <c r="AO16" s="95"/>
      <c r="AP16" s="95"/>
      <c r="AQ16" s="95"/>
      <c r="AR16" s="95"/>
      <c r="AS16" s="95"/>
      <c r="AT16" s="8"/>
      <c r="AU16" s="8"/>
      <c r="AV16" s="8"/>
      <c r="AW16" s="8"/>
      <c r="AX16" s="8"/>
      <c r="AY16" s="8"/>
      <c r="AZ16" s="8"/>
      <c r="BA16" s="8"/>
      <c r="BB16" s="8"/>
      <c r="BC16" s="141" t="str">
        <f>IF($AG$19=Dades!E23," ","LA PLANA ALTA")</f>
        <v>LA PLANA ALTA</v>
      </c>
      <c r="BD16" s="8"/>
      <c r="BE16" s="8"/>
      <c r="BF16" s="8"/>
      <c r="BG16" s="8"/>
      <c r="BH16" s="8" t="str">
        <f t="shared" si="2"/>
        <v/>
      </c>
      <c r="BI16" s="8"/>
      <c r="BJ16" s="8"/>
      <c r="BK16" s="8"/>
      <c r="BL16" s="8"/>
      <c r="BM16" s="8"/>
      <c r="BN16" s="8"/>
      <c r="BO16" s="8"/>
      <c r="BP16" s="8"/>
      <c r="BQ16" s="8" t="str">
        <f t="shared" si="3"/>
        <v>LA PLANA ALTA</v>
      </c>
      <c r="BR16" s="8" t="str">
        <f>IF(AG19=BV24,1,"")</f>
        <v/>
      </c>
      <c r="BS16" s="8"/>
      <c r="BT16" s="8"/>
      <c r="BU16" s="9">
        <f t="shared" si="0"/>
        <v>16</v>
      </c>
      <c r="BV16" t="s">
        <v>116</v>
      </c>
      <c r="BW16" t="s">
        <v>31</v>
      </c>
      <c r="BZ16" t="s">
        <v>116</v>
      </c>
      <c r="CA16" t="s">
        <v>31</v>
      </c>
      <c r="CC16" s="9" t="s">
        <v>90</v>
      </c>
      <c r="CD16" s="9" t="s">
        <v>86</v>
      </c>
      <c r="CP16" s="8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3"/>
      <c r="DD16" s="3"/>
      <c r="DE16" s="3"/>
      <c r="DF16" s="3"/>
      <c r="DG16" s="4"/>
    </row>
    <row r="17" spans="3:111" ht="15.7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20"/>
      <c r="X17" s="45"/>
      <c r="Y17" s="45"/>
      <c r="Z17" s="45"/>
      <c r="AA17" s="45"/>
      <c r="AB17" s="45"/>
      <c r="AC17" s="145"/>
      <c r="AD17" s="44"/>
      <c r="AE17" s="44"/>
      <c r="AF17" s="145" t="str">
        <f>IF($AA$13=Dades!$E$5,"O","")</f>
        <v/>
      </c>
      <c r="AG17" s="219"/>
      <c r="AH17" s="49"/>
      <c r="AI17" s="49"/>
      <c r="AJ17" s="49"/>
      <c r="AK17" s="42"/>
      <c r="AL17" s="42"/>
      <c r="AM17" s="42"/>
      <c r="AN17" s="42"/>
      <c r="AO17" s="95"/>
      <c r="AP17" s="95"/>
      <c r="AQ17" s="95"/>
      <c r="AR17" s="95"/>
      <c r="AS17" s="95"/>
      <c r="AT17" s="8"/>
      <c r="AU17" s="8"/>
      <c r="AV17" s="8"/>
      <c r="AW17" s="8"/>
      <c r="AX17" s="8"/>
      <c r="AY17" s="8"/>
      <c r="AZ17" s="8"/>
      <c r="BA17" s="8"/>
      <c r="BB17" s="8"/>
      <c r="BC17" s="141" t="str">
        <f>IF($U$21=Dades!E6," ","L'ALT MILLARS")</f>
        <v>L'ALT MILLARS</v>
      </c>
      <c r="BD17" s="8"/>
      <c r="BE17" s="8"/>
      <c r="BF17" s="8"/>
      <c r="BG17" s="8"/>
      <c r="BH17" s="8" t="str">
        <f t="shared" si="2"/>
        <v/>
      </c>
      <c r="BI17" s="8"/>
      <c r="BJ17" s="8"/>
      <c r="BK17" s="8"/>
      <c r="BL17" s="8"/>
      <c r="BM17" s="8"/>
      <c r="BN17" s="8"/>
      <c r="BO17" s="8"/>
      <c r="BP17" s="8"/>
      <c r="BQ17" s="8" t="str">
        <f t="shared" si="3"/>
        <v>L'ALT MILLARS</v>
      </c>
      <c r="BR17" s="8" t="str">
        <f>IF(U21=BV7,1,"")</f>
        <v/>
      </c>
      <c r="BS17" s="8"/>
      <c r="BT17" s="8"/>
      <c r="BU17" s="9">
        <f t="shared" si="0"/>
        <v>17</v>
      </c>
      <c r="BV17" t="s">
        <v>32</v>
      </c>
      <c r="BW17" t="s">
        <v>33</v>
      </c>
      <c r="BZ17" t="s">
        <v>32</v>
      </c>
      <c r="CA17" t="s">
        <v>33</v>
      </c>
      <c r="CC17" s="9" t="s">
        <v>90</v>
      </c>
      <c r="CD17" t="s">
        <v>19</v>
      </c>
      <c r="CP17" s="8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3"/>
      <c r="DD17" s="3"/>
      <c r="DE17" s="2"/>
      <c r="DF17" s="3"/>
      <c r="DG17" s="4"/>
    </row>
    <row r="18" spans="3:111" ht="15.75" customHeight="1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11"/>
      <c r="X18" s="111"/>
      <c r="Y18" s="111"/>
      <c r="Z18" s="45"/>
      <c r="AA18" s="45"/>
      <c r="AB18" s="45"/>
      <c r="AC18" s="44"/>
      <c r="AD18" s="44"/>
      <c r="AE18" s="44"/>
      <c r="AF18" s="44"/>
      <c r="AG18" s="49"/>
      <c r="AH18" s="49"/>
      <c r="AI18" s="49"/>
      <c r="AJ18" s="49"/>
      <c r="AK18" s="42"/>
      <c r="AL18" s="42"/>
      <c r="AM18" s="42"/>
      <c r="AN18" s="42"/>
      <c r="AO18" s="95"/>
      <c r="AP18" s="95"/>
      <c r="AQ18" s="95"/>
      <c r="AR18" s="95"/>
      <c r="AS18" s="95"/>
      <c r="AT18" s="8"/>
      <c r="AU18" s="8"/>
      <c r="AV18" s="8"/>
      <c r="AW18" s="8"/>
      <c r="AX18" s="8"/>
      <c r="AY18" s="8"/>
      <c r="AZ18" s="8"/>
      <c r="BA18" s="8"/>
      <c r="BB18" s="8"/>
      <c r="BC18" s="141" t="str">
        <f>IF($AA$27=Dades!E24," ","LA PLANA BAIXA")</f>
        <v>LA PLANA BAIXA</v>
      </c>
      <c r="BD18" s="8"/>
      <c r="BE18" s="8"/>
      <c r="BF18" s="8"/>
      <c r="BG18" s="8"/>
      <c r="BH18" s="8" t="str">
        <f t="shared" si="2"/>
        <v/>
      </c>
      <c r="BI18" s="8"/>
      <c r="BJ18" s="8"/>
      <c r="BK18" s="8"/>
      <c r="BL18" s="8"/>
      <c r="BM18" s="8"/>
      <c r="BN18" s="8"/>
      <c r="BO18" s="8"/>
      <c r="BP18" s="8"/>
      <c r="BQ18" s="8" t="str">
        <f t="shared" si="3"/>
        <v>LA PLANA BAIXA</v>
      </c>
      <c r="BR18" s="8" t="str">
        <f>IF(AA27=BV25,1,"")</f>
        <v/>
      </c>
      <c r="BS18" s="8"/>
      <c r="BT18" s="8"/>
      <c r="BU18" s="9">
        <f t="shared" si="0"/>
        <v>18</v>
      </c>
      <c r="BV18" t="s">
        <v>34</v>
      </c>
      <c r="BW18" t="s">
        <v>35</v>
      </c>
      <c r="BZ18" t="s">
        <v>34</v>
      </c>
      <c r="CA18" t="s">
        <v>35</v>
      </c>
      <c r="CC18" s="9" t="s">
        <v>90</v>
      </c>
      <c r="CD18" s="9" t="s">
        <v>85</v>
      </c>
      <c r="CP18" s="8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3"/>
      <c r="DD18" s="3"/>
      <c r="DE18" s="2"/>
      <c r="DF18" s="3"/>
      <c r="DG18" s="4"/>
    </row>
    <row r="19" spans="3:111" ht="15.75" customHeight="1">
      <c r="C19" s="8"/>
      <c r="D19" s="8"/>
      <c r="E19" s="8"/>
      <c r="F19" s="8"/>
      <c r="G19" s="8"/>
      <c r="H19" s="8"/>
      <c r="I19" s="8"/>
      <c r="J19" s="8"/>
      <c r="S19" s="221"/>
      <c r="T19" s="51"/>
      <c r="U19" s="51"/>
      <c r="V19" s="51"/>
      <c r="W19" s="198"/>
      <c r="X19" s="45"/>
      <c r="Y19" s="45"/>
      <c r="Z19" s="46"/>
      <c r="AA19" s="46"/>
      <c r="AB19" s="46"/>
      <c r="AC19" s="45"/>
      <c r="AD19" s="45"/>
      <c r="AE19" s="44"/>
      <c r="AF19" s="44"/>
      <c r="AG19" s="195"/>
      <c r="AH19" s="50"/>
      <c r="AI19" s="50"/>
      <c r="AJ19" s="50"/>
      <c r="AK19" s="43"/>
      <c r="AL19" s="43"/>
      <c r="AM19" s="92"/>
      <c r="AN19" s="92"/>
      <c r="AO19" s="92"/>
      <c r="AP19" s="92"/>
      <c r="AQ19" s="92"/>
      <c r="AR19" s="92"/>
      <c r="AS19" s="92"/>
      <c r="AX19" s="188" t="s">
        <v>72</v>
      </c>
      <c r="AY19" s="241">
        <f>35-$BR$48</f>
        <v>35</v>
      </c>
      <c r="BC19" s="141" t="str">
        <f>IF($Q$27=Dades!E7," ","L'ALT PALÀNCIA")</f>
        <v>L'ALT PALÀNCIA</v>
      </c>
      <c r="BH19" s="8" t="str">
        <f t="shared" si="2"/>
        <v/>
      </c>
      <c r="BQ19" s="8" t="str">
        <f t="shared" si="3"/>
        <v>L'ALT PALÀNCIA</v>
      </c>
      <c r="BR19" s="8" t="str">
        <f>IF(Q27=BV8,1,"")</f>
        <v/>
      </c>
      <c r="BU19" s="9">
        <f t="shared" si="0"/>
        <v>19</v>
      </c>
      <c r="BV19" t="s">
        <v>36</v>
      </c>
      <c r="BW19" t="s">
        <v>37</v>
      </c>
      <c r="BZ19" t="s">
        <v>36</v>
      </c>
      <c r="CA19" t="s">
        <v>37</v>
      </c>
      <c r="CC19" s="9" t="s">
        <v>90</v>
      </c>
      <c r="CD19" t="s">
        <v>21</v>
      </c>
      <c r="CP19" s="8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1"/>
    </row>
    <row r="20" spans="3:111" ht="15.75" customHeight="1">
      <c r="C20" s="8"/>
      <c r="D20" s="8"/>
      <c r="E20" s="8"/>
      <c r="F20" s="8"/>
      <c r="G20" s="8"/>
      <c r="H20" s="8"/>
      <c r="I20" s="8"/>
      <c r="J20" s="8"/>
      <c r="S20" s="51"/>
      <c r="T20" s="51"/>
      <c r="U20" s="51"/>
      <c r="V20" s="51"/>
      <c r="W20" s="46"/>
      <c r="X20" s="46"/>
      <c r="Y20" s="46"/>
      <c r="Z20" s="46"/>
      <c r="AA20" s="148" t="str">
        <f>IF($W$19=Dades!$E$4,"L'Alcora","")</f>
        <v/>
      </c>
      <c r="AB20" s="46"/>
      <c r="AC20" s="45"/>
      <c r="AD20" s="45"/>
      <c r="AE20" s="44"/>
      <c r="AF20" s="44"/>
      <c r="AG20" s="50"/>
      <c r="AH20" s="50"/>
      <c r="AI20" s="50"/>
      <c r="AJ20" s="50"/>
      <c r="AK20" s="43"/>
      <c r="AL20" s="43"/>
      <c r="AM20" s="92"/>
      <c r="AN20" s="92"/>
      <c r="AO20" s="92"/>
      <c r="AP20" s="92"/>
      <c r="AQ20" s="92"/>
      <c r="AR20" s="92"/>
      <c r="AS20" s="92"/>
      <c r="BC20" s="141" t="str">
        <f>IF($C$24=Dades!E26," ","EL RACÓ D'ADEMÚS")</f>
        <v>EL RACÓ D'ADEMÚS</v>
      </c>
      <c r="BH20" s="8" t="str">
        <f t="shared" si="2"/>
        <v/>
      </c>
      <c r="BQ20" s="8" t="str">
        <f t="shared" si="3"/>
        <v>EL RACÓ D'ADEMÚS</v>
      </c>
      <c r="BR20" s="8" t="str">
        <f>IF(C24=BV27,1,"")</f>
        <v/>
      </c>
      <c r="BU20" s="9">
        <f t="shared" si="0"/>
        <v>20</v>
      </c>
      <c r="BV20" t="s">
        <v>38</v>
      </c>
      <c r="BW20" t="s">
        <v>111</v>
      </c>
      <c r="BZ20" s="181" t="s">
        <v>78</v>
      </c>
      <c r="CA20" t="s">
        <v>39</v>
      </c>
      <c r="CC20" s="9" t="s">
        <v>90</v>
      </c>
      <c r="CD20" s="9" t="s">
        <v>84</v>
      </c>
      <c r="CP20" s="8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1"/>
    </row>
    <row r="21" spans="3:111" ht="15.75" customHeight="1">
      <c r="C21" s="5"/>
      <c r="D21" s="5"/>
      <c r="E21" s="5"/>
      <c r="F21" s="5"/>
      <c r="G21" s="5"/>
      <c r="H21" s="5"/>
      <c r="I21" s="5"/>
      <c r="J21" s="5"/>
      <c r="Q21" s="12"/>
      <c r="R21" s="12"/>
      <c r="S21" s="52"/>
      <c r="T21" s="52"/>
      <c r="U21" s="196"/>
      <c r="V21" s="52"/>
      <c r="W21" s="52"/>
      <c r="X21" s="52"/>
      <c r="Y21" s="52"/>
      <c r="Z21" s="52"/>
      <c r="AA21" s="47"/>
      <c r="AB21" s="47"/>
      <c r="AC21" s="47"/>
      <c r="AD21" s="47"/>
      <c r="AE21" s="34"/>
      <c r="AF21" s="34"/>
      <c r="AG21" s="117"/>
      <c r="AH21" s="34"/>
      <c r="AI21" s="34"/>
      <c r="AJ21" s="34"/>
      <c r="AK21" s="93"/>
      <c r="AL21" s="93"/>
      <c r="AM21" s="93"/>
      <c r="AN21" s="93"/>
      <c r="AO21" s="93"/>
      <c r="AP21" s="93"/>
      <c r="AQ21" s="93"/>
      <c r="AR21" s="93"/>
      <c r="AS21" s="93"/>
      <c r="AT21" s="12"/>
      <c r="AU21" s="12"/>
      <c r="AV21" s="12"/>
      <c r="AW21" s="12"/>
      <c r="AX21" s="12"/>
      <c r="AY21" s="12"/>
      <c r="AZ21" s="12"/>
      <c r="BA21" s="12"/>
      <c r="BB21" s="12"/>
      <c r="BC21" s="141" t="str">
        <f>IF($I$29=Dades!E29," ","ELS SERRANS")</f>
        <v>ELS SERRANS</v>
      </c>
      <c r="BD21" s="12"/>
      <c r="BE21" s="12"/>
      <c r="BF21" s="12"/>
      <c r="BG21" s="12"/>
      <c r="BH21" s="8" t="str">
        <f t="shared" si="2"/>
        <v/>
      </c>
      <c r="BI21" s="12"/>
      <c r="BJ21" s="12"/>
      <c r="BK21" s="12"/>
      <c r="BL21" s="12"/>
      <c r="BM21" s="12"/>
      <c r="BN21" s="12"/>
      <c r="BO21" s="12"/>
      <c r="BP21" s="12"/>
      <c r="BQ21" s="8" t="str">
        <f t="shared" si="3"/>
        <v>ELS SERRANS</v>
      </c>
      <c r="BR21" s="8" t="str">
        <f>IF(I29=BV30,1,"")</f>
        <v/>
      </c>
      <c r="BS21" s="12"/>
      <c r="BT21" s="126"/>
      <c r="BU21" s="9">
        <f t="shared" si="0"/>
        <v>21</v>
      </c>
      <c r="BV21" t="s">
        <v>40</v>
      </c>
      <c r="BW21" t="s">
        <v>41</v>
      </c>
      <c r="BZ21" t="s">
        <v>38</v>
      </c>
      <c r="CA21" s="181" t="s">
        <v>111</v>
      </c>
      <c r="CC21" s="9" t="s">
        <v>90</v>
      </c>
      <c r="CD21" t="s">
        <v>68</v>
      </c>
      <c r="CP21" s="8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7"/>
      <c r="DF21" s="2"/>
      <c r="DG21" s="1"/>
    </row>
    <row r="22" spans="3:111" ht="15.75" customHeight="1">
      <c r="C22" s="5"/>
      <c r="D22" s="5"/>
      <c r="E22" s="5"/>
      <c r="F22" s="5"/>
      <c r="G22" s="5"/>
      <c r="H22" s="5"/>
      <c r="I22" s="5"/>
      <c r="J22" s="5"/>
      <c r="Q22" s="12"/>
      <c r="R22" s="12"/>
      <c r="S22" s="52"/>
      <c r="T22" s="52"/>
      <c r="U22" s="52"/>
      <c r="V22" s="52"/>
      <c r="W22" s="52"/>
      <c r="X22" s="52"/>
      <c r="Y22" s="52"/>
      <c r="Z22" s="52"/>
      <c r="AA22" s="47"/>
      <c r="AB22" s="111" t="str">
        <f>IF($W$19=Dades!$E$4,"O","")</f>
        <v/>
      </c>
      <c r="AC22" s="47"/>
      <c r="AD22" s="47"/>
      <c r="AE22" s="34"/>
      <c r="AF22" s="34"/>
      <c r="AG22" s="34"/>
      <c r="AH22" s="34"/>
      <c r="AI22" s="34"/>
      <c r="AJ22" s="34"/>
      <c r="AK22" s="93"/>
      <c r="AL22" s="93"/>
      <c r="AM22" s="93"/>
      <c r="AN22" s="93"/>
      <c r="AO22" s="93"/>
      <c r="AP22" s="93"/>
      <c r="AQ22" s="93"/>
      <c r="AR22" s="93"/>
      <c r="AS22" s="93"/>
      <c r="AT22" s="12"/>
      <c r="AU22" s="12"/>
      <c r="AV22" s="12"/>
      <c r="AW22" s="12"/>
      <c r="AX22" s="12"/>
      <c r="AY22" s="12"/>
      <c r="AZ22" s="12"/>
      <c r="BA22" s="12"/>
      <c r="BB22" s="12"/>
      <c r="BC22" s="141" t="str">
        <f>IF($Q$33=Dades!E13," ","EL CAMP DE TÚRIA")</f>
        <v>EL CAMP DE TÚRIA</v>
      </c>
      <c r="BD22" s="12"/>
      <c r="BE22" s="12"/>
      <c r="BF22" s="12"/>
      <c r="BG22" s="12"/>
      <c r="BH22" s="8" t="str">
        <f t="shared" si="2"/>
        <v/>
      </c>
      <c r="BI22" s="12"/>
      <c r="BJ22" s="12"/>
      <c r="BK22" s="12"/>
      <c r="BL22" s="12"/>
      <c r="BM22" s="12"/>
      <c r="BN22" s="12"/>
      <c r="BO22" s="12"/>
      <c r="BP22" s="12"/>
      <c r="BQ22" s="8" t="str">
        <f t="shared" si="3"/>
        <v>EL CAMP DE TÚRIA</v>
      </c>
      <c r="BR22" s="8" t="str">
        <f>IF(Q33=BV14,1,"")</f>
        <v/>
      </c>
      <c r="BS22" s="12"/>
      <c r="BT22" s="126"/>
      <c r="BU22" s="9">
        <f t="shared" si="0"/>
        <v>22</v>
      </c>
      <c r="BV22" t="s">
        <v>42</v>
      </c>
      <c r="BW22" t="s">
        <v>43</v>
      </c>
      <c r="BZ22" t="s">
        <v>40</v>
      </c>
      <c r="CA22" t="s">
        <v>41</v>
      </c>
      <c r="CC22" s="9" t="s">
        <v>90</v>
      </c>
      <c r="CD22" s="9" t="s">
        <v>87</v>
      </c>
      <c r="CP22" s="8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7"/>
      <c r="DF22" s="2"/>
      <c r="DG22" s="1"/>
    </row>
    <row r="23" spans="3:111" ht="15.75" customHeight="1">
      <c r="C23" s="227"/>
      <c r="D23" s="62"/>
      <c r="E23" s="62"/>
      <c r="F23" s="62"/>
      <c r="G23" s="62"/>
      <c r="H23" s="62"/>
      <c r="I23" s="5"/>
      <c r="J23" s="5"/>
      <c r="Q23" s="12"/>
      <c r="R23" s="12"/>
      <c r="S23" s="52"/>
      <c r="T23" s="52"/>
      <c r="U23" s="149" t="str">
        <f>IF($U$21=Dades!$E$6,"Cirat","")</f>
        <v/>
      </c>
      <c r="V23" s="53"/>
      <c r="W23" s="52"/>
      <c r="X23" s="52"/>
      <c r="Y23" s="52"/>
      <c r="Z23" s="52"/>
      <c r="AA23" s="47"/>
      <c r="AB23" s="47"/>
      <c r="AC23" s="47"/>
      <c r="AD23" s="47"/>
      <c r="AE23" s="147" t="str">
        <f>IF($AG$19=Dades!$E$23,"Castelló de la Plana","")</f>
        <v/>
      </c>
      <c r="AF23" s="34"/>
      <c r="AG23" s="34"/>
      <c r="AH23" s="34"/>
      <c r="AI23" s="34"/>
      <c r="AJ23" s="34"/>
      <c r="AK23" s="93"/>
      <c r="AL23" s="93"/>
      <c r="AM23" s="93"/>
      <c r="AN23" s="93"/>
      <c r="AO23" s="93"/>
      <c r="AP23" s="93"/>
      <c r="AQ23" s="93"/>
      <c r="AR23" s="93"/>
      <c r="AS23" s="93"/>
      <c r="AT23" s="12"/>
      <c r="AU23" s="12"/>
      <c r="AV23" s="12"/>
      <c r="AW23" s="12"/>
      <c r="AX23" s="12"/>
      <c r="AY23" s="12"/>
      <c r="AZ23" s="12"/>
      <c r="BA23" s="12"/>
      <c r="BB23" s="12"/>
      <c r="BC23" s="141" t="str">
        <f>IF($W$33=Dades!E12," ","EL CAMP DE MORVEDRE")</f>
        <v>EL CAMP DE MORVEDRE</v>
      </c>
      <c r="BD23" s="12"/>
      <c r="BE23" s="12"/>
      <c r="BF23" s="12"/>
      <c r="BG23" s="12"/>
      <c r="BH23" s="8" t="str">
        <f t="shared" si="2"/>
        <v/>
      </c>
      <c r="BI23" s="12"/>
      <c r="BJ23" s="12"/>
      <c r="BK23" s="12"/>
      <c r="BL23" s="12"/>
      <c r="BM23" s="12"/>
      <c r="BN23" s="12"/>
      <c r="BO23" s="12"/>
      <c r="BP23" s="12"/>
      <c r="BQ23" s="8" t="str">
        <f t="shared" si="3"/>
        <v>EL CAMP DE MORVEDRE</v>
      </c>
      <c r="BR23" s="8" t="str">
        <f>IF(W33=BV13,1,"")</f>
        <v/>
      </c>
      <c r="BS23" s="12"/>
      <c r="BT23" s="126"/>
      <c r="BU23" s="9">
        <f t="shared" si="0"/>
        <v>23</v>
      </c>
      <c r="BV23" t="s">
        <v>44</v>
      </c>
      <c r="BW23" t="s">
        <v>45</v>
      </c>
      <c r="BZ23" t="s">
        <v>42</v>
      </c>
      <c r="CA23" t="s">
        <v>43</v>
      </c>
      <c r="CC23" s="9" t="s">
        <v>90</v>
      </c>
      <c r="CD23" t="s">
        <v>24</v>
      </c>
      <c r="CP23" s="8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1"/>
    </row>
    <row r="24" spans="3:111" ht="15.75" customHeight="1">
      <c r="C24" s="202"/>
      <c r="D24" s="109"/>
      <c r="E24" s="62"/>
      <c r="F24" s="62"/>
      <c r="G24" s="62"/>
      <c r="H24" s="62"/>
      <c r="I24" s="62"/>
      <c r="J24" s="5"/>
      <c r="Q24" s="12"/>
      <c r="R24" s="12"/>
      <c r="S24" s="52"/>
      <c r="T24" s="52"/>
      <c r="U24" s="149" t="str">
        <f>IF($U$21=Dades!$E$6,"O","")</f>
        <v/>
      </c>
      <c r="V24" s="53"/>
      <c r="W24" s="52"/>
      <c r="X24" s="52"/>
      <c r="Y24" s="52"/>
      <c r="Z24" s="52"/>
      <c r="AA24" s="47"/>
      <c r="AB24" s="47"/>
      <c r="AC24" s="47"/>
      <c r="AD24" s="47"/>
      <c r="AE24" s="34"/>
      <c r="AF24" s="34"/>
      <c r="AG24" s="34"/>
      <c r="AH24" s="34"/>
      <c r="AI24" s="34"/>
      <c r="AJ24" s="34"/>
      <c r="AK24" s="93"/>
      <c r="AL24" s="93"/>
      <c r="AM24" s="93"/>
      <c r="AN24" s="93"/>
      <c r="AO24" s="93"/>
      <c r="AP24" s="93"/>
      <c r="AQ24" s="93"/>
      <c r="AR24" s="93"/>
      <c r="AS24" s="93"/>
      <c r="AT24" s="12"/>
      <c r="AU24" s="12"/>
      <c r="AV24" s="12"/>
      <c r="AW24" s="12"/>
      <c r="AX24" s="12"/>
      <c r="AY24" s="12"/>
      <c r="AZ24" s="12"/>
      <c r="BA24" s="12"/>
      <c r="BB24" s="12"/>
      <c r="BC24" s="141" t="str">
        <f>IF($U$35=Dades!E35," ","L'HORTA OEST")</f>
        <v>L'HORTA OEST</v>
      </c>
      <c r="BD24" s="12"/>
      <c r="BE24" s="12"/>
      <c r="BF24" s="12"/>
      <c r="BG24" s="12"/>
      <c r="BH24" s="8" t="str">
        <f t="shared" si="2"/>
        <v/>
      </c>
      <c r="BI24" s="12"/>
      <c r="BJ24" s="12"/>
      <c r="BK24" s="12"/>
      <c r="BL24" s="12"/>
      <c r="BM24" s="12"/>
      <c r="BN24" s="12"/>
      <c r="BO24" s="12"/>
      <c r="BP24" s="12"/>
      <c r="BQ24" s="8" t="str">
        <f t="shared" si="3"/>
        <v>L'HORTA OEST</v>
      </c>
      <c r="BR24" s="8" t="str">
        <f>IF(U35=BV36,1,"")</f>
        <v/>
      </c>
      <c r="BS24" s="12"/>
      <c r="BT24" s="126"/>
      <c r="BU24" s="9">
        <f t="shared" si="0"/>
        <v>24</v>
      </c>
      <c r="BV24" t="s">
        <v>46</v>
      </c>
      <c r="BW24" t="s">
        <v>47</v>
      </c>
      <c r="BZ24" t="s">
        <v>44</v>
      </c>
      <c r="CA24" t="s">
        <v>45</v>
      </c>
      <c r="CC24" s="9" t="s">
        <v>90</v>
      </c>
      <c r="CD24" s="9" t="s">
        <v>88</v>
      </c>
      <c r="CP24" s="8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1"/>
    </row>
    <row r="25" spans="3:111" ht="15.75" customHeight="1">
      <c r="C25" s="5"/>
      <c r="E25" s="189" t="str">
        <f>IF($C$24=Dades!$E$26,"O","")</f>
        <v/>
      </c>
      <c r="F25" s="158" t="str">
        <f>IF($C$24=Dades!$E$26,"Ademús","")</f>
        <v/>
      </c>
      <c r="G25" s="62"/>
      <c r="H25" s="62"/>
      <c r="I25" s="5"/>
      <c r="J25" s="5"/>
      <c r="Q25" s="12"/>
      <c r="R25" s="12"/>
      <c r="S25" s="52"/>
      <c r="T25" s="52"/>
      <c r="U25" s="53"/>
      <c r="V25" s="53"/>
      <c r="W25" s="52"/>
      <c r="X25" s="52"/>
      <c r="Y25" s="52"/>
      <c r="Z25" s="52"/>
      <c r="AA25" s="47"/>
      <c r="AB25" s="47"/>
      <c r="AC25" s="47"/>
      <c r="AD25" s="47"/>
      <c r="AE25" s="117"/>
      <c r="AF25" s="34"/>
      <c r="AG25" s="34"/>
      <c r="AH25" s="34"/>
      <c r="AI25" s="34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12"/>
      <c r="AU25" s="12"/>
      <c r="AV25" s="12"/>
      <c r="AW25" s="12"/>
      <c r="AX25" s="12"/>
      <c r="AY25" s="12"/>
      <c r="AZ25" s="12"/>
      <c r="BA25" s="12"/>
      <c r="BB25" s="12"/>
      <c r="BC25" s="141" t="str">
        <f>IF($X$40=Dades!E31," ","VALÈNCIA")</f>
        <v>VALÈNCIA</v>
      </c>
      <c r="BD25" s="12"/>
      <c r="BE25" s="12"/>
      <c r="BF25" s="12"/>
      <c r="BG25" s="12"/>
      <c r="BH25" s="8" t="str">
        <f t="shared" si="2"/>
        <v/>
      </c>
      <c r="BI25" s="12"/>
      <c r="BJ25" s="12"/>
      <c r="BK25" s="12"/>
      <c r="BL25" s="12"/>
      <c r="BM25" s="12"/>
      <c r="BN25" s="12"/>
      <c r="BO25" s="12"/>
      <c r="BP25" s="12"/>
      <c r="BQ25" s="8" t="str">
        <f t="shared" si="3"/>
        <v>VALÈNCIA</v>
      </c>
      <c r="BR25" s="8" t="str">
        <f>IF(X40=BV32,1,"")</f>
        <v/>
      </c>
      <c r="BS25" s="12"/>
      <c r="BT25" s="126"/>
      <c r="BU25" s="9">
        <f t="shared" si="0"/>
        <v>25</v>
      </c>
      <c r="BV25" t="s">
        <v>48</v>
      </c>
      <c r="BW25" t="s">
        <v>49</v>
      </c>
      <c r="BZ25" t="s">
        <v>46</v>
      </c>
      <c r="CA25" t="s">
        <v>47</v>
      </c>
      <c r="CC25" s="9" t="s">
        <v>90</v>
      </c>
      <c r="CD25" t="s">
        <v>26</v>
      </c>
      <c r="CP25" s="8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1"/>
    </row>
    <row r="26" spans="3:111" ht="15.75" customHeight="1">
      <c r="C26" s="5"/>
      <c r="D26" s="5"/>
      <c r="E26" s="5"/>
      <c r="F26" s="5"/>
      <c r="G26" s="5"/>
      <c r="H26" s="5"/>
      <c r="I26" s="5"/>
      <c r="J26" s="5"/>
      <c r="O26" s="223"/>
      <c r="P26" s="58"/>
      <c r="Q26" s="19"/>
      <c r="R26" s="19"/>
      <c r="S26" s="19"/>
      <c r="T26" s="19"/>
      <c r="U26" s="52"/>
      <c r="V26" s="52"/>
      <c r="W26" s="222"/>
      <c r="X26" s="54"/>
      <c r="Y26" s="54"/>
      <c r="Z26" s="54"/>
      <c r="AA26" s="48"/>
      <c r="AB26" s="48"/>
      <c r="AC26" s="48"/>
      <c r="AD26" s="48"/>
      <c r="AE26" s="34"/>
      <c r="AF26" s="34"/>
      <c r="AG26" s="117"/>
      <c r="AH26" s="34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12"/>
      <c r="AU26" s="12"/>
      <c r="AV26" s="12"/>
      <c r="AW26" s="12"/>
      <c r="AX26" s="12"/>
      <c r="AY26" s="12"/>
      <c r="AZ26" s="12"/>
      <c r="BA26" s="12"/>
      <c r="BB26" s="12"/>
      <c r="BC26" s="141" t="str">
        <f>IF($W$35=Dades!E18," ","L'HORTA NORD")</f>
        <v>L'HORTA NORD</v>
      </c>
      <c r="BD26" s="14"/>
      <c r="BE26" s="14"/>
      <c r="BF26" s="14"/>
      <c r="BG26" s="14"/>
      <c r="BH26" s="8" t="str">
        <f t="shared" si="2"/>
        <v/>
      </c>
      <c r="BI26" s="14"/>
      <c r="BJ26" s="14"/>
      <c r="BK26" s="14"/>
      <c r="BL26" s="12"/>
      <c r="BM26" s="12"/>
      <c r="BN26" s="12"/>
      <c r="BO26" s="12"/>
      <c r="BP26" s="12"/>
      <c r="BQ26" s="8" t="str">
        <f t="shared" si="3"/>
        <v>L'HORTA NORD</v>
      </c>
      <c r="BR26" s="8" t="str">
        <f>IF(W35=BV19,1,"")</f>
        <v/>
      </c>
      <c r="BS26" s="12"/>
      <c r="BT26" s="126"/>
      <c r="BU26" s="9">
        <f t="shared" si="0"/>
        <v>26</v>
      </c>
      <c r="BV26" t="s">
        <v>118</v>
      </c>
      <c r="BW26" t="s">
        <v>51</v>
      </c>
      <c r="BZ26" t="s">
        <v>48</v>
      </c>
      <c r="CA26" t="s">
        <v>49</v>
      </c>
      <c r="CC26" s="9" t="s">
        <v>90</v>
      </c>
      <c r="CD26" s="9" t="s">
        <v>75</v>
      </c>
      <c r="CP26" s="8"/>
      <c r="CQ26" s="2"/>
      <c r="CR26" s="2"/>
      <c r="CS26" s="2"/>
      <c r="CT26" s="2"/>
      <c r="CU26" s="2"/>
      <c r="CV26" s="2"/>
      <c r="CW26" s="2"/>
      <c r="CX26" s="7"/>
      <c r="CY26" s="2"/>
      <c r="CZ26" s="6"/>
      <c r="DA26" s="2"/>
      <c r="DB26" s="2"/>
      <c r="DC26" s="2"/>
      <c r="DD26" s="2"/>
      <c r="DE26" s="2"/>
      <c r="DF26" s="2"/>
      <c r="DG26" s="1"/>
    </row>
    <row r="27" spans="3:111" ht="21" customHeight="1">
      <c r="C27" s="5"/>
      <c r="D27" s="5"/>
      <c r="E27" s="5"/>
      <c r="F27" s="5"/>
      <c r="G27" s="5"/>
      <c r="H27" s="226"/>
      <c r="I27" s="43"/>
      <c r="J27" s="43"/>
      <c r="K27" s="43"/>
      <c r="L27" s="5"/>
      <c r="O27" s="58"/>
      <c r="P27" s="58"/>
      <c r="Q27" s="243"/>
      <c r="R27" s="19"/>
      <c r="S27" s="59"/>
      <c r="T27" s="59"/>
      <c r="U27" s="20"/>
      <c r="V27" s="20"/>
      <c r="W27" s="48"/>
      <c r="X27" s="48"/>
      <c r="Y27" s="48"/>
      <c r="Z27" s="48"/>
      <c r="AA27" s="197"/>
      <c r="AB27" s="48"/>
      <c r="AC27" s="48"/>
      <c r="AD27" s="48"/>
      <c r="AE27" s="48"/>
      <c r="AF27" s="34"/>
      <c r="AG27" s="146" t="str">
        <f>IF($AG$19=Dades!$E$23,"O","")</f>
        <v/>
      </c>
      <c r="AH27" s="34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36"/>
      <c r="AU27" s="36"/>
      <c r="AV27" s="36"/>
      <c r="AW27" s="36"/>
      <c r="AX27" s="36"/>
      <c r="AY27" s="36"/>
      <c r="AZ27" s="12"/>
      <c r="BA27" s="12"/>
      <c r="BB27" s="12"/>
      <c r="BC27" s="141" t="str">
        <f>IF($M$40=Dades!E17," ","LA FOIA DE BUNYOL")</f>
        <v>LA FOIA DE BUNYOL</v>
      </c>
      <c r="BD27" s="12"/>
      <c r="BE27" s="12"/>
      <c r="BF27" s="12"/>
      <c r="BG27" s="12"/>
      <c r="BH27" s="8" t="str">
        <f t="shared" si="2"/>
        <v/>
      </c>
      <c r="BI27" s="12"/>
      <c r="BJ27" s="12"/>
      <c r="BK27" s="12"/>
      <c r="BL27" s="12"/>
      <c r="BM27" s="12"/>
      <c r="BN27" s="12"/>
      <c r="BO27" s="12"/>
      <c r="BP27" s="12"/>
      <c r="BQ27" s="8" t="str">
        <f t="shared" si="3"/>
        <v>LA FOIA DE BUNYOL</v>
      </c>
      <c r="BR27" s="8" t="str">
        <f>IF(M40=BV18,1,"")</f>
        <v/>
      </c>
      <c r="BS27" s="12"/>
      <c r="BT27" s="126"/>
      <c r="BU27" s="9">
        <f t="shared" si="0"/>
        <v>27</v>
      </c>
      <c r="BV27" t="s">
        <v>52</v>
      </c>
      <c r="BW27" t="s">
        <v>53</v>
      </c>
      <c r="BZ27" t="s">
        <v>50</v>
      </c>
      <c r="CA27" t="s">
        <v>51</v>
      </c>
      <c r="CC27" s="9" t="s">
        <v>90</v>
      </c>
      <c r="CD27" t="s">
        <v>115</v>
      </c>
      <c r="CP27" s="8"/>
      <c r="CQ27" s="2"/>
      <c r="CR27" s="2"/>
      <c r="CS27" s="2"/>
      <c r="CT27" s="2"/>
      <c r="CU27" s="2"/>
      <c r="CV27" s="2"/>
      <c r="CW27" s="2"/>
      <c r="CX27" s="7"/>
      <c r="CY27" s="7"/>
      <c r="CZ27" s="6"/>
      <c r="DA27" s="2"/>
      <c r="DB27" s="2"/>
      <c r="DC27" s="7"/>
      <c r="DD27" s="2"/>
      <c r="DE27" s="2"/>
      <c r="DF27" s="2"/>
      <c r="DG27" s="1"/>
    </row>
    <row r="28" spans="3:111" ht="15.75" customHeight="1">
      <c r="C28" s="5"/>
      <c r="D28" s="5"/>
      <c r="E28" s="5"/>
      <c r="F28" s="5"/>
      <c r="G28" s="43"/>
      <c r="H28" s="43"/>
      <c r="I28" s="43"/>
      <c r="J28" s="43"/>
      <c r="K28" s="43"/>
      <c r="L28" s="43"/>
      <c r="O28" s="58"/>
      <c r="P28" s="58"/>
      <c r="Q28" s="106"/>
      <c r="R28" s="19"/>
      <c r="S28" s="59"/>
      <c r="T28" s="59"/>
      <c r="U28" s="20"/>
      <c r="V28" s="20"/>
      <c r="W28" s="48"/>
      <c r="X28" s="48"/>
      <c r="Y28" s="48"/>
      <c r="Z28" s="48"/>
      <c r="AA28" s="124"/>
      <c r="AB28" s="48"/>
      <c r="AC28" s="48"/>
      <c r="AD28" s="48"/>
      <c r="AE28" s="48"/>
      <c r="AF28" s="48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36"/>
      <c r="AU28" s="36"/>
      <c r="AV28" s="36"/>
      <c r="AW28" s="36"/>
      <c r="AX28" s="36"/>
      <c r="AY28" s="36"/>
      <c r="AZ28" s="12"/>
      <c r="BA28" s="12"/>
      <c r="BB28" s="12"/>
      <c r="BC28" s="141" t="str">
        <f>IF($E$35=Dades!E25," ","LA PLANA D'UTIEL")</f>
        <v>LA PLANA D'UTIEL</v>
      </c>
      <c r="BD28" s="12"/>
      <c r="BE28" s="12"/>
      <c r="BF28" s="12"/>
      <c r="BG28" s="12"/>
      <c r="BH28" s="8" t="str">
        <f t="shared" si="2"/>
        <v/>
      </c>
      <c r="BI28" s="12"/>
      <c r="BJ28" s="12"/>
      <c r="BK28" s="12"/>
      <c r="BL28" s="12"/>
      <c r="BM28" s="12"/>
      <c r="BN28" s="12"/>
      <c r="BO28" s="12"/>
      <c r="BP28" s="12"/>
      <c r="BQ28" s="8" t="str">
        <f t="shared" si="3"/>
        <v>LA PLANA D'UTIEL</v>
      </c>
      <c r="BR28" s="8" t="str">
        <f>IF(E35=BV26,1,"")</f>
        <v/>
      </c>
      <c r="BS28" s="12"/>
      <c r="BT28" s="126"/>
      <c r="BU28" s="9">
        <f t="shared" si="0"/>
        <v>28</v>
      </c>
      <c r="BV28" t="s">
        <v>54</v>
      </c>
      <c r="BW28" t="s">
        <v>55</v>
      </c>
      <c r="BZ28" t="s">
        <v>52</v>
      </c>
      <c r="CA28" t="s">
        <v>53</v>
      </c>
      <c r="CC28" s="9" t="s">
        <v>90</v>
      </c>
      <c r="CD28" s="9" t="s">
        <v>89</v>
      </c>
      <c r="CP28" s="8"/>
      <c r="CQ28" s="2"/>
      <c r="CR28" s="2"/>
      <c r="CS28" s="2"/>
      <c r="CT28" s="2"/>
      <c r="CU28" s="2"/>
      <c r="CV28" s="2"/>
      <c r="CW28" s="2"/>
      <c r="CX28" s="7"/>
      <c r="CY28" s="7"/>
      <c r="CZ28" s="6"/>
      <c r="DA28" s="2"/>
      <c r="DB28" s="2"/>
      <c r="DC28" s="7"/>
      <c r="DD28" s="2"/>
      <c r="DE28" s="2"/>
      <c r="DF28" s="2"/>
      <c r="DG28" s="1"/>
    </row>
    <row r="29" spans="3:111" ht="15.75" customHeight="1">
      <c r="C29" s="5"/>
      <c r="D29" s="5"/>
      <c r="E29" s="5"/>
      <c r="F29" s="5"/>
      <c r="G29" s="43"/>
      <c r="H29" s="43"/>
      <c r="I29" s="193"/>
      <c r="J29" s="43"/>
      <c r="K29" s="43"/>
      <c r="L29" s="43"/>
      <c r="M29" s="43"/>
      <c r="N29" s="43"/>
      <c r="O29" s="43"/>
      <c r="P29" s="43"/>
      <c r="Q29" s="106"/>
      <c r="R29" s="19"/>
      <c r="S29" s="19"/>
      <c r="T29" s="106" t="str">
        <f>IF($Q$27=Dades!$E$7,"Sogorb","")</f>
        <v/>
      </c>
      <c r="U29" s="19"/>
      <c r="V29" s="19"/>
      <c r="W29" s="19"/>
      <c r="X29" s="19"/>
      <c r="Y29" s="19"/>
      <c r="Z29" s="124"/>
      <c r="AA29" s="124"/>
      <c r="AB29" s="150" t="str">
        <f>IF($AA$27=Dades!$E$24,"Borriana","")</f>
        <v/>
      </c>
      <c r="AC29" s="48"/>
      <c r="AD29" s="48"/>
      <c r="AE29" s="150" t="str">
        <f>IF($AA$27=Dades!$E$24,"O","")</f>
        <v/>
      </c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36"/>
      <c r="AU29" s="36"/>
      <c r="AV29" s="36"/>
      <c r="AW29" s="36"/>
      <c r="AX29" s="36"/>
      <c r="AY29" s="36"/>
      <c r="AZ29" s="12"/>
      <c r="BA29" s="12"/>
      <c r="BB29" s="12"/>
      <c r="BC29" s="141" t="str">
        <f>IF($U$40=Dades!E19," ","L'HORTA SUD")</f>
        <v>L'HORTA SUD</v>
      </c>
      <c r="BD29" s="12"/>
      <c r="BE29" s="12"/>
      <c r="BF29" s="12"/>
      <c r="BG29" s="12"/>
      <c r="BH29" s="8" t="str">
        <f t="shared" si="2"/>
        <v/>
      </c>
      <c r="BI29" s="12"/>
      <c r="BJ29" s="12"/>
      <c r="BK29" s="12"/>
      <c r="BL29" s="16"/>
      <c r="BM29" s="12"/>
      <c r="BN29" s="12"/>
      <c r="BO29" s="12"/>
      <c r="BP29" s="12"/>
      <c r="BQ29" s="8" t="str">
        <f t="shared" si="3"/>
        <v>L'HORTA SUD</v>
      </c>
      <c r="BR29" s="8" t="str">
        <f>IF(U40=BV20,1,"")</f>
        <v/>
      </c>
      <c r="BS29" s="12"/>
      <c r="BT29" s="126"/>
      <c r="BU29" s="9">
        <f t="shared" si="0"/>
        <v>29</v>
      </c>
      <c r="BV29" t="s">
        <v>56</v>
      </c>
      <c r="BW29" t="s">
        <v>57</v>
      </c>
      <c r="BZ29" t="s">
        <v>54</v>
      </c>
      <c r="CA29" t="s">
        <v>55</v>
      </c>
      <c r="CC29" s="9" t="s">
        <v>90</v>
      </c>
      <c r="CD29" t="s">
        <v>116</v>
      </c>
      <c r="CP29" s="8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7"/>
      <c r="DC29" s="6"/>
      <c r="DD29" s="2"/>
      <c r="DE29" s="2"/>
      <c r="DF29" s="2"/>
      <c r="DG29" s="1"/>
    </row>
    <row r="30" spans="3:111" ht="15.75" customHeight="1">
      <c r="C30" s="5"/>
      <c r="D30" s="5"/>
      <c r="E30" s="5"/>
      <c r="F30" s="5"/>
      <c r="G30" s="43"/>
      <c r="H30" s="43"/>
      <c r="I30" s="107"/>
      <c r="J30" s="43"/>
      <c r="K30" s="43"/>
      <c r="L30" s="43"/>
      <c r="M30" s="43"/>
      <c r="N30" s="43"/>
      <c r="O30" s="43"/>
      <c r="P30" s="43"/>
      <c r="Q30" s="19"/>
      <c r="R30" s="19"/>
      <c r="S30" s="19"/>
      <c r="T30" s="19"/>
      <c r="U30" s="144" t="str">
        <f>IF($Q$27=Dades!$E$7,"O","")</f>
        <v/>
      </c>
      <c r="V30" s="19"/>
      <c r="W30" s="19"/>
      <c r="X30" s="19"/>
      <c r="Y30" s="224"/>
      <c r="Z30" s="28"/>
      <c r="AA30" s="55"/>
      <c r="AB30" s="55"/>
      <c r="AC30" s="48"/>
      <c r="AD30" s="48"/>
      <c r="AE30" s="48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36"/>
      <c r="AU30" s="36"/>
      <c r="AV30" s="36"/>
      <c r="AW30" s="36"/>
      <c r="AX30" s="36"/>
      <c r="AY30" s="36"/>
      <c r="AZ30" s="12"/>
      <c r="BA30" s="12"/>
      <c r="BB30" s="12"/>
      <c r="BC30" s="141" t="str">
        <f>IF($W$44=Dades!E28," ","LA RIBERA BAIXA")</f>
        <v>LA RIBERA BAIXA</v>
      </c>
      <c r="BD30" s="12"/>
      <c r="BE30" s="12"/>
      <c r="BF30" s="12"/>
      <c r="BG30" s="12"/>
      <c r="BH30" s="8" t="str">
        <f t="shared" si="2"/>
        <v/>
      </c>
      <c r="BI30" s="12"/>
      <c r="BJ30" s="12"/>
      <c r="BK30" s="12"/>
      <c r="BL30" s="16"/>
      <c r="BM30" s="12"/>
      <c r="BN30" s="12"/>
      <c r="BO30" s="12"/>
      <c r="BP30" s="12"/>
      <c r="BQ30" s="8" t="str">
        <f t="shared" si="3"/>
        <v>LA RIBERA BAIXA</v>
      </c>
      <c r="BR30" s="8" t="str">
        <f>IF(W44=BV29,1,"")</f>
        <v/>
      </c>
      <c r="BS30" s="12"/>
      <c r="BT30" s="126"/>
      <c r="BU30" s="9">
        <f t="shared" si="0"/>
        <v>30</v>
      </c>
      <c r="BV30" t="s">
        <v>58</v>
      </c>
      <c r="BW30" t="s">
        <v>59</v>
      </c>
      <c r="BZ30" t="s">
        <v>56</v>
      </c>
      <c r="CA30" t="s">
        <v>57</v>
      </c>
      <c r="CC30" s="9" t="s">
        <v>90</v>
      </c>
      <c r="CD30" s="9" t="s">
        <v>92</v>
      </c>
      <c r="CP30" s="8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7"/>
      <c r="DC30" s="6"/>
      <c r="DD30" s="2"/>
      <c r="DE30" s="2"/>
      <c r="DF30" s="2"/>
      <c r="DG30" s="1"/>
    </row>
    <row r="31" spans="3:111" ht="15.75" customHeight="1">
      <c r="C31" s="5"/>
      <c r="D31" s="5"/>
      <c r="E31" s="5"/>
      <c r="F31" s="5"/>
      <c r="G31" s="240"/>
      <c r="H31" s="66"/>
      <c r="I31" s="107"/>
      <c r="J31" s="43"/>
      <c r="K31" s="43"/>
      <c r="L31" s="43"/>
      <c r="M31" s="43"/>
      <c r="N31" s="43"/>
      <c r="O31" s="225"/>
      <c r="P31" s="62"/>
      <c r="Q31" s="19"/>
      <c r="R31" s="19"/>
      <c r="S31" s="63"/>
      <c r="T31" s="63"/>
      <c r="U31" s="19"/>
      <c r="V31" s="19"/>
      <c r="W31" s="119" t="str">
        <f>IF($W$33=Dades!$E$12,"Sagunt","")</f>
        <v/>
      </c>
      <c r="X31" s="166"/>
      <c r="Y31" s="166"/>
      <c r="Z31" s="28"/>
      <c r="AA31" s="48"/>
      <c r="AB31" s="48"/>
      <c r="AC31" s="48"/>
      <c r="AD31" s="48"/>
      <c r="AE31" s="97"/>
      <c r="AF31" s="97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36"/>
      <c r="AU31" s="36"/>
      <c r="AV31" s="36"/>
      <c r="AW31" s="36"/>
      <c r="AX31" s="36"/>
      <c r="AY31" s="36"/>
      <c r="AZ31" s="12"/>
      <c r="BA31" s="12"/>
      <c r="BB31" s="12"/>
      <c r="BC31" s="141" t="str">
        <f>IF($Q$46=Dades!E27," ","LA RIBERA ALTA")</f>
        <v>LA RIBERA ALTA</v>
      </c>
      <c r="BD31" s="12"/>
      <c r="BE31" s="12"/>
      <c r="BF31" s="12"/>
      <c r="BG31" s="12"/>
      <c r="BH31" s="8" t="str">
        <f t="shared" si="2"/>
        <v/>
      </c>
      <c r="BI31" s="12"/>
      <c r="BJ31" s="36"/>
      <c r="BK31" s="36"/>
      <c r="BL31" s="36"/>
      <c r="BM31" s="36"/>
      <c r="BN31" s="36"/>
      <c r="BO31" s="36"/>
      <c r="BP31" s="36"/>
      <c r="BQ31" s="8" t="str">
        <f t="shared" si="3"/>
        <v>LA RIBERA ALTA</v>
      </c>
      <c r="BR31" s="8" t="str">
        <f>IF(W44=BV29,1,"")</f>
        <v/>
      </c>
      <c r="BS31" s="36"/>
      <c r="BT31" s="22"/>
      <c r="BU31" s="9">
        <f t="shared" si="0"/>
        <v>31</v>
      </c>
      <c r="BV31" t="s">
        <v>60</v>
      </c>
      <c r="BW31" t="s">
        <v>61</v>
      </c>
      <c r="BZ31" t="s">
        <v>58</v>
      </c>
      <c r="CA31" t="s">
        <v>59</v>
      </c>
      <c r="CC31" s="9" t="s">
        <v>90</v>
      </c>
      <c r="CD31" t="s">
        <v>32</v>
      </c>
      <c r="CP31" s="8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1"/>
    </row>
    <row r="32" spans="3:111" ht="15.75" customHeight="1">
      <c r="C32" s="5"/>
      <c r="D32" s="5"/>
      <c r="E32" s="5"/>
      <c r="F32" s="5"/>
      <c r="G32" s="66"/>
      <c r="H32" s="66"/>
      <c r="I32" s="43"/>
      <c r="J32" s="43"/>
      <c r="K32" s="43"/>
      <c r="L32" s="143" t="str">
        <f>IF($I$29=Dades!$E$29,"Xelva","")</f>
        <v/>
      </c>
      <c r="M32" s="43"/>
      <c r="N32" s="43"/>
      <c r="O32" s="62"/>
      <c r="P32" s="62"/>
      <c r="Q32" s="19"/>
      <c r="R32" s="19"/>
      <c r="S32" s="63"/>
      <c r="T32" s="63"/>
      <c r="U32" s="19"/>
      <c r="V32" s="19"/>
      <c r="W32" s="165" t="str">
        <f>IF($W$33=Dades!$E$12,"O","")</f>
        <v/>
      </c>
      <c r="X32" s="165"/>
      <c r="Y32" s="165"/>
      <c r="Z32" s="28"/>
      <c r="AA32" s="28"/>
      <c r="AB32" s="48"/>
      <c r="AC32" s="48"/>
      <c r="AD32" s="93"/>
      <c r="AE32" s="97"/>
      <c r="AF32" s="97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36"/>
      <c r="AU32" s="36"/>
      <c r="AV32" s="36"/>
      <c r="AW32" s="36"/>
      <c r="AX32" s="36"/>
      <c r="AY32" s="36"/>
      <c r="AZ32" s="12"/>
      <c r="BA32" s="12"/>
      <c r="BB32" s="12"/>
      <c r="BC32" s="141" t="str">
        <f>IF($G$46=Dades!E33," ","LA VALL DE COFRENTS")</f>
        <v>LA VALL DE COFRENTS</v>
      </c>
      <c r="BD32" s="12"/>
      <c r="BE32" s="12"/>
      <c r="BF32" s="12"/>
      <c r="BG32" s="12"/>
      <c r="BH32" s="8" t="str">
        <f t="shared" si="2"/>
        <v/>
      </c>
      <c r="BI32" s="12"/>
      <c r="BJ32" s="36"/>
      <c r="BK32" s="36"/>
      <c r="BL32" s="36"/>
      <c r="BM32" s="36"/>
      <c r="BN32" s="36"/>
      <c r="BO32" s="36"/>
      <c r="BP32" s="36"/>
      <c r="BQ32" s="8" t="str">
        <f t="shared" si="3"/>
        <v>LA VALL DE COFRENTS</v>
      </c>
      <c r="BR32" s="8" t="str">
        <f>IF(G46=BV34,1,"")</f>
        <v/>
      </c>
      <c r="BS32" s="36"/>
      <c r="BT32" s="22"/>
      <c r="BU32" s="9">
        <f t="shared" si="0"/>
        <v>32</v>
      </c>
      <c r="BV32" t="s">
        <v>62</v>
      </c>
      <c r="BW32" t="s">
        <v>62</v>
      </c>
      <c r="BZ32" t="s">
        <v>60</v>
      </c>
      <c r="CA32" t="s">
        <v>61</v>
      </c>
      <c r="CC32" s="9" t="s">
        <v>90</v>
      </c>
      <c r="CD32" s="9" t="s">
        <v>93</v>
      </c>
      <c r="CP32" s="8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1"/>
    </row>
    <row r="33" spans="3:111" ht="15.75" customHeight="1">
      <c r="C33" s="5"/>
      <c r="D33" s="5"/>
      <c r="E33" s="66"/>
      <c r="F33" s="66"/>
      <c r="G33" s="66"/>
      <c r="H33" s="66"/>
      <c r="I33" s="43"/>
      <c r="J33" s="43"/>
      <c r="K33" s="43"/>
      <c r="L33" s="143" t="str">
        <f>IF($I$29=Dades!$E$29,"O","")</f>
        <v/>
      </c>
      <c r="M33" s="43"/>
      <c r="N33" s="43"/>
      <c r="O33" s="62"/>
      <c r="P33" s="62"/>
      <c r="Q33" s="202"/>
      <c r="R33" s="21"/>
      <c r="S33" s="21"/>
      <c r="T33" s="21"/>
      <c r="U33" s="63"/>
      <c r="V33" s="63"/>
      <c r="W33" s="199"/>
      <c r="X33" s="170"/>
      <c r="Y33" s="170"/>
      <c r="Z33" s="28"/>
      <c r="AA33" s="28"/>
      <c r="AB33" s="28"/>
      <c r="AC33" s="48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6" t="str">
        <f>IF($AS$51=Dades!$F$28,"La Pica d'Estats ","")</f>
        <v/>
      </c>
      <c r="AQ33" s="93"/>
      <c r="AR33" s="97"/>
      <c r="AS33" s="93"/>
      <c r="AT33" s="36"/>
      <c r="AU33" s="36"/>
      <c r="AV33" s="36"/>
      <c r="AW33" s="36"/>
      <c r="AX33" s="36"/>
      <c r="AY33" s="36"/>
      <c r="AZ33" s="36"/>
      <c r="BA33" s="36"/>
      <c r="BB33" s="36"/>
      <c r="BC33" s="141" t="str">
        <f>IF($AA$51=Dades!E30," ","LA SAFOR")</f>
        <v>LA SAFOR</v>
      </c>
      <c r="BD33" s="36"/>
      <c r="BE33" s="36"/>
      <c r="BF33" s="36"/>
      <c r="BG33" s="36"/>
      <c r="BH33" s="8" t="str">
        <f t="shared" si="2"/>
        <v/>
      </c>
      <c r="BI33" s="36"/>
      <c r="BJ33" s="36"/>
      <c r="BK33" s="36"/>
      <c r="BL33" s="36"/>
      <c r="BM33" s="36"/>
      <c r="BN33" s="36"/>
      <c r="BO33" s="36"/>
      <c r="BP33" s="36"/>
      <c r="BQ33" s="8" t="str">
        <f t="shared" si="3"/>
        <v>LA SAFOR</v>
      </c>
      <c r="BR33" s="8" t="str">
        <f>IF(AA51=BV31,1,"")</f>
        <v/>
      </c>
      <c r="BS33" s="36"/>
      <c r="BT33" s="22"/>
      <c r="BU33" s="9">
        <f t="shared" si="0"/>
        <v>33</v>
      </c>
      <c r="BV33" t="s">
        <v>63</v>
      </c>
      <c r="BW33" t="s">
        <v>64</v>
      </c>
      <c r="BZ33" t="s">
        <v>62</v>
      </c>
      <c r="CA33" t="s">
        <v>62</v>
      </c>
      <c r="CC33" s="9" t="s">
        <v>90</v>
      </c>
      <c r="CD33" t="s">
        <v>34</v>
      </c>
      <c r="CP33" s="8"/>
      <c r="CQ33" s="2"/>
      <c r="CR33" s="2"/>
      <c r="CS33" s="2"/>
      <c r="CT33" s="2"/>
      <c r="CU33" s="2"/>
      <c r="CV33" s="2"/>
      <c r="CW33" s="6"/>
      <c r="CX33" s="2"/>
      <c r="CY33" s="2"/>
      <c r="CZ33" s="2"/>
      <c r="DA33" s="2"/>
      <c r="DB33" s="2"/>
      <c r="DC33" s="6"/>
      <c r="DD33" s="2"/>
      <c r="DE33" s="2"/>
      <c r="DF33" s="2"/>
      <c r="DG33" s="1"/>
    </row>
    <row r="34" spans="3:111" ht="15.75" customHeight="1">
      <c r="C34" s="5"/>
      <c r="D34" s="5"/>
      <c r="E34" s="66"/>
      <c r="F34" s="66"/>
      <c r="G34" s="66"/>
      <c r="H34" s="66"/>
      <c r="I34" s="43"/>
      <c r="J34" s="43"/>
      <c r="K34" s="43"/>
      <c r="L34" s="43"/>
      <c r="M34" s="43"/>
      <c r="N34" s="43"/>
      <c r="O34" s="109"/>
      <c r="P34" s="62"/>
      <c r="Q34" s="109" t="str">
        <f>IF($Q$33=Dades!$E$13,"Llíria","")</f>
        <v/>
      </c>
      <c r="R34" s="109"/>
      <c r="S34" s="21"/>
      <c r="T34" s="21"/>
      <c r="U34" s="63"/>
      <c r="V34" s="63"/>
      <c r="W34" s="119"/>
      <c r="X34" s="119"/>
      <c r="Y34" s="119"/>
      <c r="Z34" s="28"/>
      <c r="AA34" s="28"/>
      <c r="AB34" s="28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6"/>
      <c r="AQ34" s="93"/>
      <c r="AR34" s="97"/>
      <c r="AS34" s="93"/>
      <c r="AT34" s="36"/>
      <c r="AU34" s="36"/>
      <c r="AV34" s="36"/>
      <c r="AW34" s="36"/>
      <c r="AX34" s="36"/>
      <c r="AY34" s="36"/>
      <c r="AZ34" s="36"/>
      <c r="BA34" s="36"/>
      <c r="BB34" s="36"/>
      <c r="BC34" s="141" t="str">
        <f>IF($S$54=Dades!E16," ","LA COSTERA")</f>
        <v>LA COSTERA</v>
      </c>
      <c r="BD34" s="36"/>
      <c r="BE34" s="36"/>
      <c r="BF34" s="36"/>
      <c r="BG34" s="36"/>
      <c r="BH34" s="8" t="str">
        <f t="shared" si="2"/>
        <v/>
      </c>
      <c r="BI34" s="36"/>
      <c r="BJ34" s="36"/>
      <c r="BK34" s="36"/>
      <c r="BL34" s="36"/>
      <c r="BM34" s="36"/>
      <c r="BN34" s="36"/>
      <c r="BO34" s="36"/>
      <c r="BP34" s="36"/>
      <c r="BQ34" s="8" t="str">
        <f t="shared" si="3"/>
        <v>LA COSTERA</v>
      </c>
      <c r="BR34" s="8" t="str">
        <f>IF(S54=BV17,1,"")</f>
        <v/>
      </c>
      <c r="BS34" s="36"/>
      <c r="BT34" s="22"/>
      <c r="BU34" s="9">
        <f t="shared" si="0"/>
        <v>34</v>
      </c>
      <c r="BV34" t="s">
        <v>117</v>
      </c>
      <c r="BW34" t="s">
        <v>66</v>
      </c>
      <c r="BZ34" t="s">
        <v>63</v>
      </c>
      <c r="CA34" t="s">
        <v>64</v>
      </c>
      <c r="CC34" s="9" t="s">
        <v>90</v>
      </c>
      <c r="CD34" s="9" t="s">
        <v>76</v>
      </c>
      <c r="CP34" s="8"/>
      <c r="CQ34" s="2"/>
      <c r="CR34" s="2"/>
      <c r="CS34" s="2"/>
      <c r="CT34" s="2"/>
      <c r="CU34" s="2"/>
      <c r="CV34" s="2"/>
      <c r="CW34" s="6"/>
      <c r="CX34" s="2"/>
      <c r="CY34" s="2"/>
      <c r="CZ34" s="2"/>
      <c r="DA34" s="2"/>
      <c r="DB34" s="2"/>
      <c r="DC34" s="6"/>
      <c r="DD34" s="2"/>
      <c r="DE34" s="2"/>
      <c r="DF34" s="2"/>
      <c r="DG34" s="1"/>
    </row>
    <row r="35" spans="3:111" ht="15.75" customHeight="1">
      <c r="C35" s="5"/>
      <c r="D35" s="66"/>
      <c r="E35" s="205"/>
      <c r="F35" s="66"/>
      <c r="G35" s="66"/>
      <c r="H35" s="66"/>
      <c r="I35" s="66"/>
      <c r="J35" s="66"/>
      <c r="K35" s="66"/>
      <c r="L35" s="66"/>
      <c r="M35" s="43"/>
      <c r="N35" s="43"/>
      <c r="O35" s="43"/>
      <c r="P35" s="43"/>
      <c r="Q35" s="109"/>
      <c r="R35" s="109" t="str">
        <f>IF($Q$33=Dades!$E$13,"O","")</f>
        <v/>
      </c>
      <c r="S35" s="21"/>
      <c r="T35" s="21"/>
      <c r="U35" s="203"/>
      <c r="V35" s="64"/>
      <c r="W35" s="200"/>
      <c r="X35" s="168"/>
      <c r="Y35" s="168"/>
      <c r="Z35" s="18"/>
      <c r="AA35" s="183"/>
      <c r="AB35" s="183"/>
      <c r="AC35" s="93"/>
      <c r="AD35" s="93"/>
      <c r="AE35" s="97"/>
      <c r="AF35" s="97"/>
      <c r="AG35" s="93"/>
      <c r="AH35" s="93"/>
      <c r="AI35" s="93"/>
      <c r="AJ35" s="93"/>
      <c r="AK35" s="93"/>
      <c r="AL35" s="93"/>
      <c r="AM35" s="93"/>
      <c r="AN35" s="93"/>
      <c r="AO35" s="93"/>
      <c r="AP35" s="98" t="str">
        <f>IF($AS$51=Dades!$F$28," té 3143 metres!!!","")</f>
        <v/>
      </c>
      <c r="AQ35" s="99"/>
      <c r="AR35" s="93"/>
      <c r="AS35" s="93"/>
      <c r="AT35" s="36"/>
      <c r="AU35" s="32"/>
      <c r="AV35" s="36"/>
      <c r="AW35" s="36"/>
      <c r="AX35" s="36"/>
      <c r="AY35" s="36"/>
      <c r="AZ35" s="36"/>
      <c r="BA35" s="36"/>
      <c r="BB35" s="36"/>
      <c r="BC35" s="141" t="str">
        <f>IF($M$51=Dades!E14," ","EL CANAL NAVARRÉS")</f>
        <v>EL CANAL NAVARRÉS</v>
      </c>
      <c r="BD35" s="36"/>
      <c r="BE35" s="36"/>
      <c r="BF35" s="36"/>
      <c r="BG35" s="36"/>
      <c r="BH35" s="8" t="str">
        <f t="shared" si="2"/>
        <v/>
      </c>
      <c r="BI35" s="36"/>
      <c r="BJ35" s="36"/>
      <c r="BK35" s="36"/>
      <c r="BL35" s="36"/>
      <c r="BM35" s="36"/>
      <c r="BN35" s="36"/>
      <c r="BO35" s="36"/>
      <c r="BP35" s="36"/>
      <c r="BQ35" s="8" t="str">
        <f t="shared" si="3"/>
        <v>EL CANAL NAVARRÉS</v>
      </c>
      <c r="BR35" s="8" t="str">
        <f>IF(M51=BV15,1,"")</f>
        <v/>
      </c>
      <c r="BS35" s="36"/>
      <c r="BT35" s="22"/>
      <c r="BU35" s="9">
        <f t="shared" si="0"/>
        <v>35</v>
      </c>
      <c r="BV35" t="s">
        <v>69</v>
      </c>
      <c r="BW35" t="s">
        <v>67</v>
      </c>
      <c r="BZ35" t="s">
        <v>65</v>
      </c>
      <c r="CA35" t="s">
        <v>66</v>
      </c>
      <c r="CC35" s="9" t="s">
        <v>90</v>
      </c>
      <c r="CD35" t="s">
        <v>36</v>
      </c>
      <c r="CP35" s="8"/>
      <c r="CQ35" s="2"/>
      <c r="CR35" s="2"/>
      <c r="CS35" s="2"/>
      <c r="CT35" s="2"/>
      <c r="CU35" s="2"/>
      <c r="CV35" s="2"/>
      <c r="CW35" s="2"/>
      <c r="CX35" s="2"/>
      <c r="CY35" s="2"/>
      <c r="CZ35" s="7"/>
      <c r="DA35" s="2"/>
      <c r="DB35" s="2"/>
      <c r="DC35" s="2"/>
      <c r="DD35" s="2"/>
      <c r="DE35" s="2"/>
      <c r="DF35" s="2"/>
      <c r="DG35" s="1"/>
    </row>
    <row r="36" spans="3:111" ht="15.75" customHeight="1">
      <c r="C36" s="5"/>
      <c r="D36" s="66"/>
      <c r="E36" s="167"/>
      <c r="F36" s="66"/>
      <c r="G36" s="66"/>
      <c r="H36" s="66"/>
      <c r="I36" s="66"/>
      <c r="J36" s="66"/>
      <c r="K36" s="66"/>
      <c r="L36" s="66"/>
      <c r="M36" s="43"/>
      <c r="N36" s="43"/>
      <c r="O36" s="43"/>
      <c r="P36" s="43"/>
      <c r="Q36" s="109"/>
      <c r="R36" s="109"/>
      <c r="S36" s="21"/>
      <c r="T36" s="21"/>
      <c r="U36" s="179" t="str">
        <f>IF($U$35=Dades!E35,"Torrent","")</f>
        <v/>
      </c>
      <c r="V36" s="64"/>
      <c r="W36" s="172" t="str">
        <f>IF($W$35=Dades!$E$18,"Puçol","")</f>
        <v/>
      </c>
      <c r="X36" s="172"/>
      <c r="Y36" s="168"/>
      <c r="Z36" s="173" t="str">
        <f>IF($W$35=Dades!$E$18,"O","")</f>
        <v/>
      </c>
      <c r="AA36" s="18"/>
      <c r="AB36" s="97"/>
      <c r="AC36" s="93"/>
      <c r="AD36" s="93"/>
      <c r="AE36" s="97"/>
      <c r="AF36" s="97"/>
      <c r="AG36" s="93"/>
      <c r="AH36" s="93"/>
      <c r="AI36" s="93"/>
      <c r="AJ36" s="93"/>
      <c r="AK36" s="93"/>
      <c r="AL36" s="93"/>
      <c r="AM36" s="93"/>
      <c r="AN36" s="93"/>
      <c r="AO36" s="93"/>
      <c r="AP36" s="98"/>
      <c r="AQ36" s="99"/>
      <c r="AR36" s="93"/>
      <c r="AS36" s="93"/>
      <c r="AT36" s="36"/>
      <c r="AU36" s="32"/>
      <c r="AV36" s="36"/>
      <c r="AW36" s="36"/>
      <c r="AX36" s="36"/>
      <c r="AY36" s="36"/>
      <c r="AZ36" s="36"/>
      <c r="BA36" s="36"/>
      <c r="BB36" s="36"/>
      <c r="BC36" s="141" t="str">
        <f>IF($M$51=Dades!E14," ","LA CANAL NAVARRÉS")</f>
        <v>LA CANAL NAVARRÉS</v>
      </c>
      <c r="BD36" s="36"/>
      <c r="BE36" s="36"/>
      <c r="BF36" s="36"/>
      <c r="BG36" s="36"/>
      <c r="BH36" s="8"/>
      <c r="BI36" s="36"/>
      <c r="BJ36" s="36"/>
      <c r="BK36" s="36"/>
      <c r="BL36" s="36"/>
      <c r="BM36" s="36"/>
      <c r="BN36" s="36"/>
      <c r="BO36" s="36"/>
      <c r="BP36" s="36"/>
      <c r="BQ36" s="8" t="str">
        <f t="shared" si="3"/>
        <v>LA CANAL NAVARRÉS</v>
      </c>
      <c r="BR36" s="8" t="str">
        <f>IF(U58=BV16,1,"")</f>
        <v/>
      </c>
      <c r="BS36" s="36"/>
      <c r="BT36" s="22"/>
      <c r="BU36" s="36">
        <v>36</v>
      </c>
      <c r="BV36" t="s">
        <v>78</v>
      </c>
      <c r="BW36" t="s">
        <v>39</v>
      </c>
      <c r="BZ36" t="s">
        <v>69</v>
      </c>
      <c r="CA36" t="s">
        <v>67</v>
      </c>
      <c r="CD36" s="9" t="s">
        <v>109</v>
      </c>
      <c r="CP36" s="8"/>
      <c r="CQ36" s="2"/>
      <c r="CR36" s="2"/>
      <c r="CS36" s="2"/>
      <c r="CT36" s="2"/>
      <c r="CU36" s="2"/>
      <c r="CV36" s="2"/>
      <c r="CW36" s="2"/>
      <c r="CX36" s="2"/>
      <c r="CY36" s="2"/>
      <c r="CZ36" s="7"/>
      <c r="DA36" s="2"/>
      <c r="DB36" s="2"/>
      <c r="DC36" s="2"/>
      <c r="DD36" s="2"/>
      <c r="DE36" s="2"/>
      <c r="DF36" s="2"/>
      <c r="DG36" s="1"/>
    </row>
    <row r="37" spans="3:111" ht="18" customHeight="1" thickBot="1"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43"/>
      <c r="N37" s="43"/>
      <c r="O37" s="43"/>
      <c r="P37" s="43"/>
      <c r="Q37" s="21"/>
      <c r="R37" s="151"/>
      <c r="S37" s="21"/>
      <c r="T37" s="21"/>
      <c r="U37" s="182"/>
      <c r="V37" s="179" t="str">
        <f>IF($U$35=Dades!E35,"o","")</f>
        <v/>
      </c>
      <c r="W37" s="108"/>
      <c r="X37" s="108"/>
      <c r="Y37" s="108"/>
      <c r="Z37" s="169"/>
      <c r="AA37" s="18"/>
      <c r="AB37" s="93"/>
      <c r="AC37" s="93"/>
      <c r="AD37" s="93"/>
      <c r="AE37" s="97"/>
      <c r="AF37" s="97"/>
      <c r="AG37" s="93"/>
      <c r="AH37" s="93"/>
      <c r="AI37" s="93"/>
      <c r="AJ37" s="93"/>
      <c r="AK37" s="93"/>
      <c r="AL37" s="93"/>
      <c r="AM37" s="93"/>
      <c r="AN37" s="93"/>
      <c r="AO37" s="93"/>
      <c r="AP37" s="98"/>
      <c r="AQ37" s="99"/>
      <c r="AR37" s="93"/>
      <c r="AS37" s="93"/>
      <c r="AT37" s="36"/>
      <c r="AU37" s="32"/>
      <c r="AV37" s="36"/>
      <c r="AW37" s="36"/>
      <c r="AX37" s="136" t="s">
        <v>71</v>
      </c>
      <c r="AY37" s="36"/>
      <c r="AZ37" s="36"/>
      <c r="BA37" s="36"/>
      <c r="BB37" s="36"/>
      <c r="BC37" s="141" t="str">
        <f>IF($S$55=Dades!E32," ","LA VALL D'ALBAIDA")</f>
        <v>LA VALL D'ALBAIDA</v>
      </c>
      <c r="BD37" s="36"/>
      <c r="BE37" s="36"/>
      <c r="BF37" s="36"/>
      <c r="BG37" s="36"/>
      <c r="BH37" s="8" t="str">
        <f t="shared" si="2"/>
        <v/>
      </c>
      <c r="BI37" s="36"/>
      <c r="BJ37" s="36"/>
      <c r="BK37" s="36"/>
      <c r="BL37" s="36"/>
      <c r="BM37" s="36"/>
      <c r="BN37" s="36"/>
      <c r="BO37" s="36"/>
      <c r="BP37" s="36"/>
      <c r="BQ37" s="8" t="str">
        <f t="shared" si="3"/>
        <v>LA VALL D'ALBAIDA</v>
      </c>
      <c r="BR37" s="8" t="str">
        <f>IF(S55=BV33,1,"")</f>
        <v/>
      </c>
      <c r="BS37" s="36"/>
      <c r="BT37" s="22"/>
      <c r="BU37" s="36"/>
      <c r="CD37" t="s">
        <v>38</v>
      </c>
      <c r="CP37" s="8"/>
      <c r="CQ37" s="2"/>
      <c r="CR37" s="2"/>
      <c r="CS37" s="2"/>
      <c r="CT37" s="2"/>
      <c r="CU37" s="2"/>
      <c r="CV37" s="2"/>
      <c r="CW37" s="2"/>
      <c r="CX37" s="2"/>
      <c r="CY37" s="2"/>
      <c r="CZ37" s="7"/>
      <c r="DA37" s="2"/>
      <c r="DB37" s="2"/>
      <c r="DC37" s="2"/>
      <c r="DD37" s="2"/>
      <c r="DE37" s="2"/>
      <c r="DF37" s="2"/>
      <c r="DG37" s="1"/>
    </row>
    <row r="38" spans="3:111" ht="15.75" customHeight="1" thickBot="1">
      <c r="C38" s="66"/>
      <c r="D38" s="66"/>
      <c r="E38" s="115" t="str">
        <f>IF($E$35=Dades!$E$25,"Molt bé!!!","")</f>
        <v/>
      </c>
      <c r="F38" s="66"/>
      <c r="G38" s="66"/>
      <c r="H38" s="66"/>
      <c r="I38" s="66"/>
      <c r="J38" s="66"/>
      <c r="K38" s="66"/>
      <c r="L38" s="66"/>
      <c r="M38" s="239"/>
      <c r="N38" s="68"/>
      <c r="O38" s="68"/>
      <c r="P38" s="68"/>
      <c r="Q38" s="64"/>
      <c r="R38" s="64"/>
      <c r="S38" s="21"/>
      <c r="T38" s="21"/>
      <c r="U38" s="142" t="str">
        <f>IF(U$40=Dades!E$19,"Catarroja","")</f>
        <v/>
      </c>
      <c r="V38" s="142"/>
      <c r="W38" s="184"/>
      <c r="X38" s="175"/>
      <c r="Y38" s="171"/>
      <c r="Z38" s="15"/>
      <c r="AA38" s="17"/>
      <c r="AB38" s="100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7"/>
      <c r="AQ38" s="93"/>
      <c r="AR38" s="93"/>
      <c r="AS38" s="93"/>
      <c r="AT38" s="36"/>
      <c r="AU38" s="36"/>
      <c r="AV38" s="36"/>
      <c r="AW38" s="36"/>
      <c r="AX38" s="135" t="str">
        <f t="shared" ref="AX38:AX41" ca="1" si="4">INDEX($BC$12:$BC$46,RANDBETWEEN(1,COUNTA($BC$12:$BC$46)),1)</f>
        <v>LA FOIA DE BUNYOL</v>
      </c>
      <c r="AY38" s="36"/>
      <c r="AZ38" s="36"/>
      <c r="BA38" s="36"/>
      <c r="BB38" s="36"/>
      <c r="BC38" s="141" t="str">
        <f>IF($AA$57=Dades!E20," ","LA MARINA ALTA")</f>
        <v>LA MARINA ALTA</v>
      </c>
      <c r="BD38" s="36"/>
      <c r="BE38" s="36"/>
      <c r="BF38" s="36"/>
      <c r="BG38" s="36"/>
      <c r="BH38" s="8" t="str">
        <f t="shared" si="2"/>
        <v/>
      </c>
      <c r="BI38" s="36"/>
      <c r="BJ38" s="36"/>
      <c r="BK38" s="36"/>
      <c r="BL38" s="36"/>
      <c r="BM38" s="36"/>
      <c r="BN38" s="36"/>
      <c r="BO38" s="36"/>
      <c r="BP38" s="36"/>
      <c r="BQ38" s="8" t="str">
        <f t="shared" si="3"/>
        <v>LA MARINA ALTA</v>
      </c>
      <c r="BR38" s="8" t="str">
        <f>IF(AA57=BV21,1,"")</f>
        <v/>
      </c>
      <c r="BS38" s="36"/>
      <c r="BT38" s="22"/>
      <c r="BU38" s="36"/>
      <c r="CC38" s="9" t="s">
        <v>90</v>
      </c>
      <c r="CD38" s="9" t="s">
        <v>94</v>
      </c>
      <c r="CP38" s="8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6"/>
      <c r="DC38" s="2"/>
      <c r="DD38" s="2"/>
      <c r="DE38" s="2"/>
      <c r="DF38" s="2"/>
      <c r="DG38" s="1"/>
    </row>
    <row r="39" spans="3:111" ht="15.75" customHeight="1" thickBot="1">
      <c r="C39" s="66"/>
      <c r="D39" s="66"/>
      <c r="E39" s="66"/>
      <c r="F39" s="115" t="str">
        <f>IF($E$35=Dades!$E$25,"Requena","")</f>
        <v/>
      </c>
      <c r="G39" s="66"/>
      <c r="H39" s="66"/>
      <c r="I39" s="115" t="str">
        <f>IF($E$35=Dades!$E$25,"O","")</f>
        <v/>
      </c>
      <c r="J39" s="66"/>
      <c r="K39" s="66"/>
      <c r="L39" s="66"/>
      <c r="M39" s="68"/>
      <c r="N39" s="68"/>
      <c r="O39" s="68"/>
      <c r="P39" s="68"/>
      <c r="Q39" s="64"/>
      <c r="R39" s="64"/>
      <c r="S39" s="21"/>
      <c r="T39" s="21"/>
      <c r="U39" s="176" t="str">
        <f>IF(U$40=Dades!E$19,"O","")</f>
        <v/>
      </c>
      <c r="V39" s="27"/>
      <c r="W39" s="110" t="str">
        <f>IF($X$40=Dades!$E$31,"València","")</f>
        <v/>
      </c>
      <c r="X39" s="110"/>
      <c r="Y39" s="110"/>
      <c r="Z39" s="174" t="str">
        <f>IF($X$40=Dades!$E$31,"O","")</f>
        <v/>
      </c>
      <c r="AA39" s="100"/>
      <c r="AB39" s="100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7"/>
      <c r="AQ39" s="93"/>
      <c r="AR39" s="93"/>
      <c r="AS39" s="93"/>
      <c r="AT39" s="36"/>
      <c r="AU39" s="36"/>
      <c r="AV39" s="36"/>
      <c r="AW39" s="36"/>
      <c r="AX39" s="135" t="str">
        <f t="shared" ca="1" si="4"/>
        <v>EL VINALOPÓ MITJÀ</v>
      </c>
      <c r="AY39" s="36"/>
      <c r="AZ39" s="36"/>
      <c r="BA39" s="36"/>
      <c r="BB39" s="36"/>
      <c r="BC39" s="141" t="str">
        <f>IF($AA$61=Dades!E21," ","LA MARINA BAIXA")</f>
        <v>LA MARINA BAIXA</v>
      </c>
      <c r="BD39" s="36"/>
      <c r="BE39" s="36"/>
      <c r="BF39" s="36"/>
      <c r="BG39" s="36"/>
      <c r="BH39" s="8" t="str">
        <f t="shared" si="2"/>
        <v/>
      </c>
      <c r="BI39" s="36"/>
      <c r="BJ39" s="36"/>
      <c r="BK39" s="36"/>
      <c r="BL39" s="36"/>
      <c r="BM39" s="36"/>
      <c r="BN39" s="36"/>
      <c r="BO39" s="36"/>
      <c r="BP39" s="36"/>
      <c r="BQ39" s="8" t="str">
        <f t="shared" si="3"/>
        <v>LA MARINA BAIXA</v>
      </c>
      <c r="BR39" s="8" t="str">
        <f>IF(AA61=BV22,1,"")</f>
        <v/>
      </c>
      <c r="BS39" s="36"/>
      <c r="BT39" s="22"/>
      <c r="BU39" s="36"/>
      <c r="CC39" s="9" t="s">
        <v>90</v>
      </c>
      <c r="CD39" t="s">
        <v>40</v>
      </c>
      <c r="CP39" s="8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6"/>
      <c r="DC39" s="2"/>
      <c r="DD39" s="2"/>
      <c r="DE39" s="2"/>
      <c r="DF39" s="2"/>
      <c r="DG39" s="1"/>
    </row>
    <row r="40" spans="3:111" ht="15.75" customHeight="1" thickBot="1"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206"/>
      <c r="N40" s="68"/>
      <c r="O40" s="68"/>
      <c r="P40" s="68"/>
      <c r="Q40" s="64"/>
      <c r="R40" s="64"/>
      <c r="S40" s="64"/>
      <c r="T40" s="64"/>
      <c r="U40" s="204"/>
      <c r="V40" s="27"/>
      <c r="W40" s="27"/>
      <c r="X40" s="201"/>
      <c r="Y40" s="17"/>
      <c r="Z40" s="17"/>
      <c r="AA40" s="93"/>
      <c r="AB40" s="93"/>
      <c r="AC40" s="92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32"/>
      <c r="AU40" s="36"/>
      <c r="AV40" s="36"/>
      <c r="AW40" s="36"/>
      <c r="AX40" s="135" t="str">
        <f t="shared" ca="1" si="4"/>
        <v>EL CANAL NAVARRÉS</v>
      </c>
      <c r="AY40" s="36"/>
      <c r="AZ40" s="36"/>
      <c r="BA40" s="36"/>
      <c r="BB40" s="36"/>
      <c r="BC40" s="141" t="str">
        <f>IF($U$58=Dades!E15," ","EL COMTAT")</f>
        <v>EL COMTAT</v>
      </c>
      <c r="BD40" s="36"/>
      <c r="BE40" s="36"/>
      <c r="BF40" s="36"/>
      <c r="BG40" s="36"/>
      <c r="BH40" s="8"/>
      <c r="BI40" s="36"/>
      <c r="BJ40" s="36"/>
      <c r="BK40" s="36"/>
      <c r="BL40" s="32"/>
      <c r="BM40" s="22"/>
      <c r="BN40" s="36"/>
      <c r="BO40" s="36"/>
      <c r="BP40" s="36"/>
      <c r="BQ40" s="8" t="str">
        <f t="shared" si="3"/>
        <v>EL COMTAT</v>
      </c>
      <c r="BR40" s="8" t="str">
        <f>IF(U58=BV16,1,"")</f>
        <v/>
      </c>
      <c r="BS40" s="36"/>
      <c r="BT40" s="22"/>
      <c r="BU40" s="36"/>
      <c r="CC40" s="9" t="s">
        <v>90</v>
      </c>
      <c r="CD40" s="9" t="s">
        <v>74</v>
      </c>
      <c r="CP40" s="8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1"/>
    </row>
    <row r="41" spans="3:111" ht="15.75" customHeight="1" thickBot="1">
      <c r="C41" s="5"/>
      <c r="D41" s="5"/>
      <c r="E41" s="66"/>
      <c r="F41" s="66"/>
      <c r="G41" s="66"/>
      <c r="H41" s="66"/>
      <c r="I41" s="66"/>
      <c r="J41" s="66"/>
      <c r="K41" s="66"/>
      <c r="L41" s="66"/>
      <c r="M41" s="68"/>
      <c r="N41" s="68"/>
      <c r="O41" s="116"/>
      <c r="P41" s="186" t="str">
        <f>IF($M$40=Dades!$E$17,"Xiva","")</f>
        <v/>
      </c>
      <c r="Q41" s="186"/>
      <c r="R41" s="186" t="str">
        <f>IF($M$40=Dades!$E$17,"O","")</f>
        <v/>
      </c>
      <c r="S41" s="64"/>
      <c r="T41" s="64"/>
      <c r="U41" s="185"/>
      <c r="V41" s="27"/>
      <c r="W41" s="27"/>
      <c r="X41" s="17"/>
      <c r="Y41" s="17"/>
      <c r="Z41" s="17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32"/>
      <c r="AU41" s="36"/>
      <c r="AV41" s="36"/>
      <c r="AW41" s="36"/>
      <c r="AX41" s="135" t="str">
        <f t="shared" ca="1" si="4"/>
        <v>L'HORTA SUD</v>
      </c>
      <c r="AY41" s="36"/>
      <c r="AZ41" s="36"/>
      <c r="BA41" s="36"/>
      <c r="BB41" s="36"/>
      <c r="BC41" s="141" t="str">
        <f>IF($S$61=Dades!E3," ","L'ALCOIÀ")</f>
        <v>L'ALCOIÀ</v>
      </c>
      <c r="BD41" s="36"/>
      <c r="BE41" s="36"/>
      <c r="BF41" s="36"/>
      <c r="BG41" s="36"/>
      <c r="BH41" s="8"/>
      <c r="BI41" s="36"/>
      <c r="BJ41" s="36"/>
      <c r="BK41" s="36"/>
      <c r="BL41" s="32"/>
      <c r="BM41" s="22"/>
      <c r="BN41" s="36"/>
      <c r="BO41" s="36"/>
      <c r="BP41" s="36"/>
      <c r="BQ41" s="8" t="str">
        <f t="shared" si="3"/>
        <v>L'ALCOIÀ</v>
      </c>
      <c r="BR41" s="8" t="str">
        <f>IF(S61=BV4,1,"")</f>
        <v/>
      </c>
      <c r="BS41" s="36"/>
      <c r="BT41" s="22"/>
      <c r="BU41" s="36"/>
      <c r="CC41" s="9" t="s">
        <v>90</v>
      </c>
      <c r="CD41" t="s">
        <v>42</v>
      </c>
      <c r="CP41" s="8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1"/>
    </row>
    <row r="42" spans="3:111" ht="21" customHeight="1">
      <c r="C42" s="5"/>
      <c r="D42" s="5"/>
      <c r="E42" s="66"/>
      <c r="F42" s="66"/>
      <c r="G42" s="66"/>
      <c r="H42" s="66"/>
      <c r="I42" s="66"/>
      <c r="J42" s="66"/>
      <c r="K42" s="66"/>
      <c r="L42" s="66"/>
      <c r="M42" s="116"/>
      <c r="N42" s="68"/>
      <c r="O42" s="68"/>
      <c r="P42" s="68"/>
      <c r="Q42" s="229"/>
      <c r="R42" s="29"/>
      <c r="S42" s="29"/>
      <c r="T42" s="29"/>
      <c r="U42" s="29"/>
      <c r="V42" s="29"/>
      <c r="W42" s="230"/>
      <c r="X42" s="37"/>
      <c r="Y42" s="37"/>
      <c r="Z42" s="37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100"/>
      <c r="AS42" s="93"/>
      <c r="AT42" s="36"/>
      <c r="AU42" s="36"/>
      <c r="AV42" s="36"/>
      <c r="AW42" s="36"/>
      <c r="AX42" s="36"/>
      <c r="AY42" s="36"/>
      <c r="AZ42" s="36"/>
      <c r="BA42" s="36"/>
      <c r="BB42" s="36"/>
      <c r="BC42" s="141" t="str">
        <f>IF($S$65=Dades!E2," ","L'ALACANTÍ")</f>
        <v>L'ALACANTÍ</v>
      </c>
      <c r="BD42" s="36"/>
      <c r="BE42" s="36"/>
      <c r="BF42" s="36"/>
      <c r="BG42" s="36"/>
      <c r="BH42" s="8"/>
      <c r="BI42" s="36"/>
      <c r="BJ42" s="36"/>
      <c r="BK42" s="32"/>
      <c r="BL42" s="36"/>
      <c r="BM42" s="36"/>
      <c r="BN42" s="36"/>
      <c r="BO42" s="36"/>
      <c r="BP42" s="36"/>
      <c r="BQ42" s="8" t="str">
        <f t="shared" si="3"/>
        <v>L'ALACANTÍ</v>
      </c>
      <c r="BR42" s="8" t="str">
        <f>IF(S65=BV3,1,"")</f>
        <v/>
      </c>
      <c r="BS42" s="36"/>
      <c r="BT42" s="88"/>
      <c r="BU42" s="36"/>
      <c r="BV42" s="77"/>
      <c r="BW42" s="36"/>
      <c r="CC42" s="9" t="s">
        <v>90</v>
      </c>
      <c r="CD42" s="9" t="s">
        <v>95</v>
      </c>
      <c r="CP42" s="8"/>
      <c r="CQ42" s="2"/>
      <c r="CR42" s="2"/>
      <c r="CS42" s="2"/>
      <c r="CT42" s="2"/>
      <c r="CU42" s="2"/>
      <c r="CV42" s="2"/>
      <c r="CW42" s="2"/>
      <c r="CX42" s="2"/>
      <c r="CY42" s="2"/>
      <c r="CZ42" s="6"/>
      <c r="DA42" s="2"/>
      <c r="DB42" s="7"/>
      <c r="DC42" s="7"/>
      <c r="DD42" s="2"/>
      <c r="DE42" s="2"/>
      <c r="DF42" s="2"/>
      <c r="DG42" s="1"/>
    </row>
    <row r="43" spans="3:111" ht="15.75" customHeight="1">
      <c r="C43" s="5"/>
      <c r="D43" s="5"/>
      <c r="E43" s="66"/>
      <c r="F43" s="66"/>
      <c r="G43" s="66"/>
      <c r="H43" s="66"/>
      <c r="I43" s="66"/>
      <c r="J43" s="66"/>
      <c r="K43" s="66"/>
      <c r="L43" s="66"/>
      <c r="M43" s="68"/>
      <c r="N43" s="68"/>
      <c r="O43" s="68"/>
      <c r="P43" s="68"/>
      <c r="Q43" s="29"/>
      <c r="R43" s="29"/>
      <c r="S43" s="29"/>
      <c r="T43" s="29"/>
      <c r="U43" s="29"/>
      <c r="V43" s="29"/>
      <c r="W43" s="37"/>
      <c r="X43" s="37"/>
      <c r="Y43" s="37"/>
      <c r="Z43" s="37"/>
      <c r="AA43" s="93"/>
      <c r="AB43" s="93"/>
      <c r="AC43" s="93"/>
      <c r="AD43" s="93"/>
      <c r="AE43" s="93"/>
      <c r="AF43" s="93"/>
      <c r="AG43" s="103"/>
      <c r="AH43" s="93"/>
      <c r="AI43" s="93"/>
      <c r="AJ43" s="93"/>
      <c r="AK43" s="93"/>
      <c r="AL43" s="93"/>
      <c r="AM43" s="102"/>
      <c r="AN43" s="93"/>
      <c r="AO43" s="93"/>
      <c r="AP43" s="93"/>
      <c r="AQ43" s="93"/>
      <c r="AR43" s="100"/>
      <c r="AS43" s="93"/>
      <c r="AT43" s="36"/>
      <c r="AU43" s="36"/>
      <c r="AV43" s="36"/>
      <c r="AW43" s="36"/>
      <c r="AX43" s="36"/>
      <c r="AY43" s="36"/>
      <c r="AZ43" s="36"/>
      <c r="BA43" s="36"/>
      <c r="BB43" s="36"/>
      <c r="BC43" s="141" t="str">
        <f>IF($M$61=Dades!E8," ","L'ALT VINALOPÓ")</f>
        <v>L'ALT VINALOPÓ</v>
      </c>
      <c r="BD43" s="36"/>
      <c r="BE43" s="36"/>
      <c r="BF43" s="36"/>
      <c r="BG43" s="36"/>
      <c r="BH43" s="8"/>
      <c r="BI43" s="36"/>
      <c r="BJ43" s="36"/>
      <c r="BK43" s="32"/>
      <c r="BL43" s="36"/>
      <c r="BM43" s="36"/>
      <c r="BN43" s="36"/>
      <c r="BO43" s="36"/>
      <c r="BP43" s="36"/>
      <c r="BQ43" s="8" t="str">
        <f t="shared" si="3"/>
        <v>L'ALT VINALOPÓ</v>
      </c>
      <c r="BR43" s="8" t="str">
        <f>IF(M61=BV9,1,"")</f>
        <v/>
      </c>
      <c r="BS43" s="36"/>
      <c r="BT43" s="88"/>
      <c r="BU43" s="36"/>
      <c r="BV43" s="77"/>
      <c r="BW43" s="36"/>
      <c r="CC43" s="9" t="s">
        <v>90</v>
      </c>
      <c r="CD43" t="s">
        <v>44</v>
      </c>
      <c r="CP43" s="8"/>
      <c r="CQ43" s="2"/>
      <c r="CR43" s="2"/>
      <c r="CS43" s="2"/>
      <c r="CT43" s="2"/>
      <c r="CU43" s="2"/>
      <c r="CV43" s="2"/>
      <c r="CW43" s="2"/>
      <c r="CX43" s="2"/>
      <c r="CY43" s="2"/>
      <c r="CZ43" s="6"/>
      <c r="DA43" s="2"/>
      <c r="DB43" s="7"/>
      <c r="DC43" s="7"/>
      <c r="DD43" s="2"/>
      <c r="DE43" s="2"/>
      <c r="DF43" s="2"/>
      <c r="DG43" s="1"/>
    </row>
    <row r="44" spans="3:111" ht="15.75" customHeight="1">
      <c r="C44" s="5"/>
      <c r="D44" s="5"/>
      <c r="E44" s="5"/>
      <c r="F44" s="5"/>
      <c r="G44" s="228"/>
      <c r="H44" s="60"/>
      <c r="I44" s="60"/>
      <c r="J44" s="60"/>
      <c r="K44" s="60"/>
      <c r="L44" s="60"/>
      <c r="M44" s="68"/>
      <c r="N44" s="68"/>
      <c r="O44" s="68"/>
      <c r="P44" s="68"/>
      <c r="Q44" s="29"/>
      <c r="R44" s="29"/>
      <c r="S44" s="29"/>
      <c r="T44" s="29"/>
      <c r="U44" s="29"/>
      <c r="V44" s="29"/>
      <c r="W44" s="193"/>
      <c r="X44" s="94"/>
      <c r="Y44" s="94"/>
      <c r="Z44" s="37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102"/>
      <c r="AN44" s="93"/>
      <c r="AO44" s="93"/>
      <c r="AP44" s="97"/>
      <c r="AQ44" s="93"/>
      <c r="AR44" s="93"/>
      <c r="AS44" s="93"/>
      <c r="AT44" s="36"/>
      <c r="AU44" s="36"/>
      <c r="AV44" s="36"/>
      <c r="AW44" s="36"/>
      <c r="AX44" s="36"/>
      <c r="AY44" s="36"/>
      <c r="AZ44" s="36"/>
      <c r="BA44" s="36"/>
      <c r="BB44" s="36"/>
      <c r="BC44" s="141" t="str">
        <f>IF($M$67=Dades!E34," ","EL VINALOPÓ MITJÀ")</f>
        <v>EL VINALOPÓ MITJÀ</v>
      </c>
      <c r="BD44" s="36"/>
      <c r="BE44" s="36"/>
      <c r="BF44" s="36"/>
      <c r="BG44" s="36"/>
      <c r="BH44" s="8"/>
      <c r="BI44" s="36"/>
      <c r="BJ44" s="36"/>
      <c r="BK44" s="22"/>
      <c r="BL44" s="22"/>
      <c r="BM44" s="22"/>
      <c r="BN44" s="22"/>
      <c r="BO44" s="22"/>
      <c r="BP44" s="22"/>
      <c r="BQ44" s="8" t="str">
        <f t="shared" si="3"/>
        <v>EL VINALOPÓ MITJÀ</v>
      </c>
      <c r="BR44" s="8" t="str">
        <f>IF(M67=BV35,1,"")</f>
        <v/>
      </c>
      <c r="BS44" s="22"/>
      <c r="BT44" s="22"/>
      <c r="BU44" s="22"/>
      <c r="BV44" s="41"/>
      <c r="BW44" s="76"/>
      <c r="CC44" s="9" t="s">
        <v>90</v>
      </c>
      <c r="CD44" s="9" t="s">
        <v>96</v>
      </c>
      <c r="CP44" s="8"/>
      <c r="CQ44" s="2"/>
      <c r="CR44" s="2"/>
      <c r="CS44" s="2"/>
      <c r="CT44" s="2"/>
      <c r="CU44" s="2"/>
      <c r="CV44" s="2"/>
      <c r="CW44" s="2"/>
      <c r="CX44" s="2"/>
      <c r="CY44" s="7"/>
      <c r="CZ44" s="2"/>
      <c r="DA44" s="2"/>
      <c r="DB44" s="2"/>
      <c r="DC44" s="2"/>
      <c r="DD44" s="2"/>
      <c r="DE44" s="2"/>
      <c r="DF44" s="2"/>
      <c r="DG44" s="1"/>
    </row>
    <row r="45" spans="3:111" ht="15.75" customHeight="1">
      <c r="C45" s="5"/>
      <c r="D45" s="5"/>
      <c r="E45" s="5"/>
      <c r="F45" s="5"/>
      <c r="G45" s="60"/>
      <c r="H45" s="159" t="str">
        <f>IF($G$46=Dades!E33,"Molt bé!!!","")</f>
        <v/>
      </c>
      <c r="I45" s="60"/>
      <c r="J45" s="60"/>
      <c r="K45" s="60"/>
      <c r="L45" s="60"/>
      <c r="M45" s="68"/>
      <c r="N45" s="68"/>
      <c r="O45" s="68"/>
      <c r="P45" s="68"/>
      <c r="Q45" s="163" t="str">
        <f>IF($Q$46=Dades!$E$27,"Molt bé!!!","")</f>
        <v/>
      </c>
      <c r="R45" s="29"/>
      <c r="S45" s="29"/>
      <c r="T45" s="29"/>
      <c r="U45" s="29"/>
      <c r="V45" s="29"/>
      <c r="W45" s="37"/>
      <c r="X45" s="37"/>
      <c r="Y45" s="37"/>
      <c r="Z45" s="37"/>
      <c r="AA45" s="71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7"/>
      <c r="AQ45" s="93"/>
      <c r="AR45" s="93"/>
      <c r="AS45" s="93"/>
      <c r="AT45" s="36"/>
      <c r="AU45" s="36"/>
      <c r="AV45" s="36"/>
      <c r="AW45" s="36"/>
      <c r="AX45" s="36"/>
      <c r="AY45" s="36"/>
      <c r="AZ45" s="36"/>
      <c r="BA45" s="36"/>
      <c r="BB45" s="36"/>
      <c r="BC45" s="141" t="str">
        <f>IF($O$70=Dades!E11," ","EL BAIX VINALOPÓ")</f>
        <v>EL BAIX VINALOPÓ</v>
      </c>
      <c r="BD45" s="36"/>
      <c r="BE45" s="36"/>
      <c r="BF45" s="36"/>
      <c r="BG45" s="36"/>
      <c r="BH45" s="8"/>
      <c r="BI45" s="36"/>
      <c r="BJ45" s="36"/>
      <c r="BK45" s="22"/>
      <c r="BL45" s="22"/>
      <c r="BM45" s="22"/>
      <c r="BN45" s="22"/>
      <c r="BO45" s="22"/>
      <c r="BP45" s="22"/>
      <c r="BQ45" s="8" t="str">
        <f t="shared" si="3"/>
        <v>EL BAIX VINALOPÓ</v>
      </c>
      <c r="BR45" s="8" t="str">
        <f>IF(O70=BV12,1,"")</f>
        <v/>
      </c>
      <c r="BS45" s="22"/>
      <c r="BT45" s="22"/>
      <c r="BU45" s="22"/>
      <c r="BV45" s="41"/>
      <c r="BW45" s="76"/>
      <c r="CC45" s="9" t="s">
        <v>90</v>
      </c>
      <c r="CD45" t="s">
        <v>46</v>
      </c>
      <c r="CP45" s="8"/>
      <c r="CQ45" s="2"/>
      <c r="CR45" s="2"/>
      <c r="CS45" s="2"/>
      <c r="CT45" s="2"/>
      <c r="CU45" s="2"/>
      <c r="CV45" s="2"/>
      <c r="CW45" s="2"/>
      <c r="CX45" s="2"/>
      <c r="CY45" s="7"/>
      <c r="CZ45" s="2"/>
      <c r="DA45" s="2"/>
      <c r="DB45" s="2"/>
      <c r="DC45" s="2"/>
      <c r="DD45" s="2"/>
      <c r="DE45" s="2"/>
      <c r="DF45" s="2"/>
      <c r="DG45" s="1"/>
    </row>
    <row r="46" spans="3:111" ht="15.75" customHeight="1">
      <c r="C46" s="5"/>
      <c r="D46" s="5"/>
      <c r="E46" s="5"/>
      <c r="F46" s="5"/>
      <c r="G46" s="208"/>
      <c r="H46" s="60"/>
      <c r="I46" s="60"/>
      <c r="J46" s="60"/>
      <c r="K46" s="60"/>
      <c r="L46" s="60"/>
      <c r="M46" s="60"/>
      <c r="N46" s="60"/>
      <c r="O46" s="232"/>
      <c r="P46" s="75"/>
      <c r="Q46" s="207"/>
      <c r="R46" s="30"/>
      <c r="S46" s="29"/>
      <c r="T46" s="29"/>
      <c r="U46" s="70"/>
      <c r="V46" s="70"/>
      <c r="W46" s="143" t="str">
        <f>IF($W$44=Dades!$E$28,"Sueca","")</f>
        <v/>
      </c>
      <c r="X46" s="94"/>
      <c r="Y46" s="94"/>
      <c r="Z46" s="143" t="str">
        <f>IF($W$44=Dades!$E$28,"O","")</f>
        <v/>
      </c>
      <c r="AA46" s="71"/>
      <c r="AB46" s="104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100" t="str">
        <f>IF($AS$51=Dades!$F$28,"Molt bé!!!","")</f>
        <v/>
      </c>
      <c r="AT46" s="36"/>
      <c r="AU46" s="32"/>
      <c r="AV46" s="36"/>
      <c r="AW46" s="36"/>
      <c r="AX46" s="36"/>
      <c r="AY46" s="36"/>
      <c r="AZ46" s="36"/>
      <c r="BA46" s="36"/>
      <c r="BB46" s="36"/>
      <c r="BC46" s="141" t="str">
        <f>IF($O$76=Dades!E10," ","EL BAIX SEGURA")</f>
        <v>EL BAIX SEGURA</v>
      </c>
      <c r="BD46" s="36"/>
      <c r="BE46" s="36"/>
      <c r="BF46" s="36"/>
      <c r="BG46" s="36"/>
      <c r="BH46" s="8"/>
      <c r="BI46" s="36"/>
      <c r="BJ46" s="36"/>
      <c r="BK46" s="32"/>
      <c r="BL46" s="22"/>
      <c r="BM46" s="22"/>
      <c r="BN46" s="22"/>
      <c r="BO46" s="22"/>
      <c r="BP46" s="22"/>
      <c r="BQ46" s="8" t="str">
        <f t="shared" si="3"/>
        <v>EL BAIX SEGURA</v>
      </c>
      <c r="BR46" s="8" t="str">
        <f>IF(O76=BV11,1,"")</f>
        <v/>
      </c>
      <c r="BS46" s="22"/>
      <c r="BT46" s="22"/>
      <c r="BU46" s="22"/>
      <c r="BV46" s="22"/>
      <c r="BW46" s="36"/>
      <c r="CC46" s="9" t="s">
        <v>90</v>
      </c>
      <c r="CD46" s="9" t="s">
        <v>97</v>
      </c>
      <c r="CP46" s="8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1"/>
    </row>
    <row r="47" spans="3:111" ht="15.75" customHeight="1">
      <c r="C47" s="5"/>
      <c r="D47" s="5"/>
      <c r="E47" s="5"/>
      <c r="F47" s="5"/>
      <c r="G47" s="60"/>
      <c r="H47" s="60"/>
      <c r="I47" s="60"/>
      <c r="J47" s="60"/>
      <c r="K47" s="60"/>
      <c r="L47" s="60"/>
      <c r="M47" s="60"/>
      <c r="N47" s="60"/>
      <c r="O47" s="75"/>
      <c r="P47" s="75"/>
      <c r="Q47" s="30"/>
      <c r="R47" s="30"/>
      <c r="S47" s="29"/>
      <c r="T47" s="29"/>
      <c r="U47" s="70"/>
      <c r="V47" s="70"/>
      <c r="W47" s="71"/>
      <c r="X47" s="71"/>
      <c r="Y47" s="71"/>
      <c r="Z47" s="71"/>
      <c r="AA47" s="72"/>
      <c r="AB47" s="72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100"/>
      <c r="AT47" s="36"/>
      <c r="AU47" s="32"/>
      <c r="AV47" s="36"/>
      <c r="AW47" s="36"/>
      <c r="AX47" s="36"/>
      <c r="AY47" s="36"/>
      <c r="AZ47" s="36"/>
      <c r="BA47" s="36"/>
      <c r="BB47" s="36"/>
      <c r="BC47" s="129"/>
      <c r="BD47" s="36"/>
      <c r="BE47" s="36"/>
      <c r="BF47" s="36"/>
      <c r="BG47" s="36"/>
      <c r="BH47" s="36"/>
      <c r="BI47" s="36"/>
      <c r="BJ47" s="36"/>
      <c r="BK47" s="3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36"/>
      <c r="CC47" s="9" t="s">
        <v>90</v>
      </c>
      <c r="CD47" t="s">
        <v>48</v>
      </c>
      <c r="CP47" s="8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1"/>
    </row>
    <row r="48" spans="3:111" ht="19.5" customHeight="1">
      <c r="C48" s="5"/>
      <c r="D48" s="5"/>
      <c r="E48" s="5"/>
      <c r="F48" s="5"/>
      <c r="G48" s="160" t="str">
        <f>IF($G$46=Dades!$E$33,"Aiora","")</f>
        <v/>
      </c>
      <c r="H48" s="122"/>
      <c r="I48" s="60"/>
      <c r="J48" s="160" t="str">
        <f>IF($G$46=Dades!$E$33,"O","")</f>
        <v/>
      </c>
      <c r="K48" s="60"/>
      <c r="L48" s="60"/>
      <c r="M48" s="225"/>
      <c r="N48" s="62"/>
      <c r="O48" s="62"/>
      <c r="P48" s="62"/>
      <c r="Q48" s="30"/>
      <c r="R48" s="29"/>
      <c r="S48" s="29"/>
      <c r="T48" s="162" t="str">
        <f>IF($Q$46=Dades!$E$27,"Alzira","")</f>
        <v/>
      </c>
      <c r="U48" s="29"/>
      <c r="V48" s="162" t="str">
        <f>IF($Q$46=Dades!$E$27,"O","")</f>
        <v/>
      </c>
      <c r="W48" s="70"/>
      <c r="X48" s="70"/>
      <c r="Y48" s="70"/>
      <c r="Z48" s="70"/>
      <c r="AA48" s="231"/>
      <c r="AB48" s="67"/>
      <c r="AC48" s="93"/>
      <c r="AD48" s="93"/>
      <c r="AE48" s="104"/>
      <c r="AF48" s="104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7"/>
      <c r="AT48" s="36"/>
      <c r="AU48" s="36"/>
      <c r="AV48" s="36"/>
      <c r="AW48" s="36"/>
      <c r="AX48" s="36"/>
      <c r="AY48" s="36"/>
      <c r="AZ48" s="36"/>
      <c r="BA48" s="36"/>
      <c r="BB48" s="36"/>
      <c r="BC48" s="129"/>
      <c r="BD48" s="36"/>
      <c r="BE48" s="36"/>
      <c r="BF48" s="32"/>
      <c r="BG48" s="36"/>
      <c r="BH48" s="36"/>
      <c r="BI48" s="36"/>
      <c r="BJ48" s="36"/>
      <c r="BK48" s="36"/>
      <c r="BL48" s="22"/>
      <c r="BM48" s="56"/>
      <c r="BN48" s="22"/>
      <c r="BO48" s="22"/>
      <c r="BP48" s="22"/>
      <c r="BQ48" s="22" t="s">
        <v>110</v>
      </c>
      <c r="BR48" s="22">
        <f>SUM(BR12:BR46)</f>
        <v>0</v>
      </c>
      <c r="BS48" s="22"/>
      <c r="BT48" s="22"/>
      <c r="BU48" s="22"/>
      <c r="BV48" s="22"/>
      <c r="BW48" s="36"/>
      <c r="CC48" s="9" t="s">
        <v>90</v>
      </c>
      <c r="CD48" s="9" t="s">
        <v>98</v>
      </c>
      <c r="CP48" s="8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1"/>
    </row>
    <row r="49" spans="3:111" ht="15.75" customHeight="1">
      <c r="C49" s="5"/>
      <c r="D49" s="5"/>
      <c r="E49" s="5"/>
      <c r="F49" s="5"/>
      <c r="G49" s="5"/>
      <c r="H49" s="60"/>
      <c r="I49" s="60"/>
      <c r="J49" s="60"/>
      <c r="K49" s="60"/>
      <c r="L49" s="60"/>
      <c r="M49" s="109"/>
      <c r="N49" s="62"/>
      <c r="O49" s="62"/>
      <c r="P49" s="62"/>
      <c r="Q49" s="29"/>
      <c r="R49" s="29"/>
      <c r="S49" s="29"/>
      <c r="T49" s="29"/>
      <c r="U49" s="29"/>
      <c r="V49" s="29"/>
      <c r="W49" s="70"/>
      <c r="X49" s="70"/>
      <c r="Y49" s="70"/>
      <c r="Z49" s="70"/>
      <c r="AA49" s="67"/>
      <c r="AB49" s="67"/>
      <c r="AC49" s="93"/>
      <c r="AD49" s="93"/>
      <c r="AE49" s="104"/>
      <c r="AF49" s="104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7"/>
      <c r="AT49" s="36"/>
      <c r="AU49" s="36"/>
      <c r="AV49" s="36"/>
      <c r="AW49" s="36"/>
      <c r="AX49" s="36"/>
      <c r="AY49" s="36"/>
      <c r="AZ49" s="36"/>
      <c r="BA49" s="36"/>
      <c r="BB49" s="36"/>
      <c r="BC49" s="129"/>
      <c r="BD49" s="36"/>
      <c r="BE49" s="36"/>
      <c r="BF49" s="32"/>
      <c r="BG49" s="36"/>
      <c r="BH49" s="36"/>
      <c r="BI49" s="36"/>
      <c r="BJ49" s="36"/>
      <c r="BK49" s="36"/>
      <c r="BL49" s="22"/>
      <c r="BM49" s="56"/>
      <c r="BN49" s="22"/>
      <c r="BO49" s="22"/>
      <c r="BP49" s="22"/>
      <c r="BQ49" s="22"/>
      <c r="BR49" s="22"/>
      <c r="BS49" s="22"/>
      <c r="BT49" s="22"/>
      <c r="BU49" s="22"/>
      <c r="BV49" s="22"/>
      <c r="BW49" s="36"/>
      <c r="CC49" s="9" t="s">
        <v>90</v>
      </c>
      <c r="CD49" t="s">
        <v>118</v>
      </c>
      <c r="CP49" s="8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1"/>
    </row>
    <row r="50" spans="3:111" ht="15.75" customHeight="1">
      <c r="C50" s="5"/>
      <c r="D50" s="5"/>
      <c r="E50" s="5"/>
      <c r="F50" s="5"/>
      <c r="G50" s="5"/>
      <c r="H50" s="60"/>
      <c r="I50" s="60"/>
      <c r="J50" s="60"/>
      <c r="K50" s="60"/>
      <c r="L50" s="60"/>
      <c r="M50" s="62"/>
      <c r="N50" s="62"/>
      <c r="O50" s="62"/>
      <c r="P50" s="62"/>
      <c r="Q50" s="21"/>
      <c r="R50" s="21"/>
      <c r="S50" s="238"/>
      <c r="T50" s="26"/>
      <c r="U50" s="26"/>
      <c r="V50" s="26"/>
      <c r="W50" s="67"/>
      <c r="X50" s="67"/>
      <c r="Y50" s="67"/>
      <c r="Z50" s="113"/>
      <c r="AA50" s="67"/>
      <c r="AB50" s="67"/>
      <c r="AC50" s="100"/>
      <c r="AD50" s="100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36"/>
      <c r="AU50" s="36"/>
      <c r="AV50" s="36"/>
      <c r="AW50" s="36"/>
      <c r="AX50" s="36"/>
      <c r="AY50" s="36"/>
      <c r="AZ50" s="36"/>
      <c r="BA50" s="32"/>
      <c r="BB50" s="36"/>
      <c r="BC50" s="129"/>
      <c r="BD50" s="36"/>
      <c r="BE50" s="36"/>
      <c r="BF50" s="36"/>
      <c r="BG50" s="36"/>
      <c r="BH50" s="36"/>
      <c r="BI50" s="36"/>
      <c r="BJ50" s="36"/>
      <c r="BK50" s="36"/>
      <c r="BL50" s="22"/>
      <c r="BM50" s="22"/>
      <c r="BN50" s="22"/>
      <c r="BO50" s="22"/>
      <c r="BP50" s="80"/>
      <c r="BQ50" s="22"/>
      <c r="BR50" s="22"/>
      <c r="BS50" s="22"/>
      <c r="BT50" s="81"/>
      <c r="BU50" s="22"/>
      <c r="BV50" s="22"/>
      <c r="BW50" s="36"/>
      <c r="CC50" s="9" t="s">
        <v>90</v>
      </c>
      <c r="CD50" s="9" t="s">
        <v>99</v>
      </c>
      <c r="CP50" s="8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1"/>
    </row>
    <row r="51" spans="3:111" ht="15.75" customHeight="1">
      <c r="C51" s="5"/>
      <c r="D51" s="5"/>
      <c r="E51" s="5"/>
      <c r="F51" s="5"/>
      <c r="G51" s="5"/>
      <c r="H51" s="5"/>
      <c r="I51" s="60"/>
      <c r="J51" s="60"/>
      <c r="K51" s="60"/>
      <c r="L51" s="60"/>
      <c r="M51" s="202"/>
      <c r="N51" s="62"/>
      <c r="O51" s="62"/>
      <c r="P51" s="62"/>
      <c r="Q51" s="21"/>
      <c r="R51" s="21"/>
      <c r="S51" s="26"/>
      <c r="T51" s="26"/>
      <c r="U51" s="224"/>
      <c r="V51" s="28"/>
      <c r="W51" s="28"/>
      <c r="X51" s="28"/>
      <c r="Y51" s="28"/>
      <c r="Z51" s="28"/>
      <c r="AA51" s="210"/>
      <c r="AB51" s="67"/>
      <c r="AC51" s="67"/>
      <c r="AD51" s="67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101"/>
      <c r="AT51" s="36"/>
      <c r="AU51" s="36"/>
      <c r="AV51" s="36"/>
      <c r="AW51" s="36"/>
      <c r="AX51" s="188" t="s">
        <v>72</v>
      </c>
      <c r="AY51" s="242">
        <f>35-$BR$48</f>
        <v>35</v>
      </c>
      <c r="AZ51" s="36"/>
      <c r="BA51" s="36"/>
      <c r="BB51" s="36"/>
      <c r="BC51" s="129"/>
      <c r="BD51" s="32"/>
      <c r="BE51" s="36"/>
      <c r="BF51" s="36"/>
      <c r="BG51" s="36"/>
      <c r="BH51" s="36"/>
      <c r="BI51" s="36"/>
      <c r="BJ51" s="36"/>
      <c r="BK51" s="36"/>
      <c r="BL51" s="80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36"/>
      <c r="CC51" s="9" t="s">
        <v>90</v>
      </c>
      <c r="CD51" t="s">
        <v>52</v>
      </c>
      <c r="CP51" s="8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1"/>
    </row>
    <row r="52" spans="3:111" ht="15.75" customHeight="1">
      <c r="C52" s="5"/>
      <c r="D52" s="5"/>
      <c r="E52" s="5"/>
      <c r="F52" s="5"/>
      <c r="G52" s="5"/>
      <c r="H52" s="5"/>
      <c r="I52" s="60"/>
      <c r="J52" s="60"/>
      <c r="K52" s="60"/>
      <c r="L52" s="60"/>
      <c r="M52" s="62"/>
      <c r="N52" s="62"/>
      <c r="O52" s="62"/>
      <c r="P52" s="62"/>
      <c r="Q52" s="21"/>
      <c r="R52" s="21"/>
      <c r="S52" s="112" t="str">
        <f>IF($S$54=Dades!$E$16,"Xàtiva","")</f>
        <v/>
      </c>
      <c r="T52" s="26"/>
      <c r="U52" s="28"/>
      <c r="V52" s="28"/>
      <c r="W52" s="28"/>
      <c r="X52" s="28"/>
      <c r="Y52" s="28"/>
      <c r="Z52" s="28"/>
      <c r="AA52" s="67"/>
      <c r="AB52" s="67"/>
      <c r="AC52" s="67"/>
      <c r="AD52" s="67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101"/>
      <c r="AT52" s="36"/>
      <c r="AU52" s="36"/>
      <c r="AV52" s="36"/>
      <c r="AW52" s="36"/>
      <c r="AX52" s="36"/>
      <c r="AY52" s="76"/>
      <c r="AZ52" s="36"/>
      <c r="BA52" s="36"/>
      <c r="BB52" s="36"/>
      <c r="BC52" s="129"/>
      <c r="BD52" s="32"/>
      <c r="BE52" s="36"/>
      <c r="BF52" s="36"/>
      <c r="BG52" s="36"/>
      <c r="BH52" s="36"/>
      <c r="BI52" s="36"/>
      <c r="BJ52" s="36"/>
      <c r="BK52" s="36"/>
      <c r="BL52" s="80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36"/>
      <c r="CC52" s="9" t="s">
        <v>90</v>
      </c>
      <c r="CD52" s="9" t="s">
        <v>100</v>
      </c>
      <c r="CP52" s="8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1"/>
    </row>
    <row r="53" spans="3:111" ht="15.75" customHeight="1">
      <c r="C53" s="5"/>
      <c r="D53" s="5"/>
      <c r="E53" s="5"/>
      <c r="F53" s="5"/>
      <c r="G53" s="5"/>
      <c r="H53" s="5"/>
      <c r="I53" s="5"/>
      <c r="J53" s="5"/>
      <c r="M53" s="109"/>
      <c r="N53" s="62"/>
      <c r="O53" s="62"/>
      <c r="P53" s="62"/>
      <c r="Q53" s="21"/>
      <c r="R53" s="21"/>
      <c r="S53" s="26"/>
      <c r="T53" s="161" t="str">
        <f>IF($S$54=Dades!$E$16,"O","")</f>
        <v/>
      </c>
      <c r="U53" s="28"/>
      <c r="V53" s="119"/>
      <c r="W53" s="28"/>
      <c r="X53" s="28"/>
      <c r="Y53" s="28"/>
      <c r="Z53" s="28"/>
      <c r="AA53" s="164" t="str">
        <f>IF($AA$51=Dades!$E$30,"Gandia","")</f>
        <v/>
      </c>
      <c r="AB53" s="113"/>
      <c r="AC53" s="67"/>
      <c r="AD53" s="164" t="str">
        <f>IF($AA$51=Dades!$E$30,"O","")</f>
        <v/>
      </c>
      <c r="AE53" s="67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36"/>
      <c r="AU53" s="36"/>
      <c r="AV53" s="36"/>
      <c r="AW53" s="36"/>
      <c r="AX53" s="36"/>
      <c r="AY53" s="36"/>
      <c r="AZ53" s="36"/>
      <c r="BA53" s="76" t="str">
        <f ca="1">IF($AX$61=Dades!$F$5,"amb Andorra ","")</f>
        <v/>
      </c>
      <c r="BB53" s="32"/>
      <c r="BC53" s="129"/>
      <c r="BD53" s="36"/>
      <c r="BE53" s="36"/>
      <c r="BF53" s="36"/>
      <c r="BG53" s="36"/>
      <c r="BH53" s="36"/>
      <c r="BI53" s="36"/>
      <c r="BJ53" s="36"/>
      <c r="BK53" s="79"/>
      <c r="BL53" s="22"/>
      <c r="BM53" s="22"/>
      <c r="BN53" s="80"/>
      <c r="BO53" s="22"/>
      <c r="BP53" s="22"/>
      <c r="BQ53" s="22"/>
      <c r="BR53" s="22"/>
      <c r="BS53" s="22"/>
      <c r="BT53" s="22"/>
      <c r="BU53" s="22"/>
      <c r="BV53" s="22"/>
      <c r="BW53" s="77"/>
      <c r="CC53" s="9" t="s">
        <v>90</v>
      </c>
      <c r="CD53" t="s">
        <v>54</v>
      </c>
      <c r="CP53" s="8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1"/>
    </row>
    <row r="54" spans="3:111" ht="15.75" customHeight="1">
      <c r="C54" s="5"/>
      <c r="D54" s="5"/>
      <c r="E54" s="5"/>
      <c r="F54" s="5"/>
      <c r="G54" s="5"/>
      <c r="H54" s="5"/>
      <c r="I54" s="5"/>
      <c r="J54" s="5"/>
      <c r="M54" s="62"/>
      <c r="N54" s="62"/>
      <c r="O54" s="158" t="str">
        <f>IF($M$51=Dades!$E$14,"Énguera","")</f>
        <v/>
      </c>
      <c r="P54" s="62"/>
      <c r="Q54" s="21"/>
      <c r="R54" s="21"/>
      <c r="S54" s="209"/>
      <c r="T54" s="26"/>
      <c r="U54" s="28"/>
      <c r="V54" s="28"/>
      <c r="W54" s="28"/>
      <c r="X54" s="28"/>
      <c r="Y54" s="28"/>
      <c r="Z54" s="28"/>
      <c r="AA54" s="89"/>
      <c r="AB54" s="89"/>
      <c r="AC54" s="67"/>
      <c r="AD54" s="67"/>
      <c r="AE54" s="67"/>
      <c r="AF54" s="67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36"/>
      <c r="AU54" s="36"/>
      <c r="AV54" s="36"/>
      <c r="AW54" s="36"/>
      <c r="AX54" s="36"/>
      <c r="AY54" s="36"/>
      <c r="AZ54" s="36"/>
      <c r="BA54" s="76"/>
      <c r="BB54" s="32"/>
      <c r="BC54" s="129"/>
      <c r="BD54" s="36"/>
      <c r="BE54" s="36"/>
      <c r="BF54" s="36"/>
      <c r="BG54" s="36"/>
      <c r="BH54" s="36"/>
      <c r="BI54" s="36"/>
      <c r="BJ54" s="36"/>
      <c r="BK54" s="79"/>
      <c r="BL54" s="22"/>
      <c r="BM54" s="22"/>
      <c r="BN54" s="80"/>
      <c r="BO54" s="22"/>
      <c r="BP54" s="22"/>
      <c r="BQ54" s="22"/>
      <c r="BR54" s="22"/>
      <c r="BS54" s="22"/>
      <c r="BT54" s="22"/>
      <c r="BU54" s="22"/>
      <c r="BV54" s="22"/>
      <c r="BW54" s="77"/>
      <c r="CC54" s="9" t="s">
        <v>90</v>
      </c>
      <c r="CD54" s="9" t="s">
        <v>101</v>
      </c>
      <c r="CP54" s="8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1"/>
    </row>
    <row r="55" spans="3:111" ht="15.75" customHeight="1">
      <c r="C55" s="5"/>
      <c r="D55" s="5"/>
      <c r="E55" s="5"/>
      <c r="F55" s="5"/>
      <c r="G55" s="5"/>
      <c r="H55" s="5"/>
      <c r="I55" s="5"/>
      <c r="J55" s="5"/>
      <c r="O55" s="62"/>
      <c r="P55" s="158" t="str">
        <f>IF($M$51=Dades!$E$14,"O","")</f>
        <v/>
      </c>
      <c r="Q55" s="26"/>
      <c r="R55" s="26"/>
      <c r="S55" s="211"/>
      <c r="T55" s="28"/>
      <c r="U55" s="28"/>
      <c r="V55" s="28"/>
      <c r="W55" s="28"/>
      <c r="X55" s="28"/>
      <c r="Y55" s="28"/>
      <c r="Z55" s="28"/>
      <c r="AA55" s="228"/>
      <c r="AB55" s="120"/>
      <c r="AC55" s="120"/>
      <c r="AD55" s="120"/>
      <c r="AE55" s="120"/>
      <c r="AF55" s="120"/>
      <c r="AG55" s="93"/>
      <c r="AH55" s="93"/>
      <c r="AI55" s="93"/>
      <c r="AJ55" s="93"/>
      <c r="AK55" s="97"/>
      <c r="AL55" s="97"/>
      <c r="AM55" s="93"/>
      <c r="AN55" s="93"/>
      <c r="AO55" s="93"/>
      <c r="AP55" s="93"/>
      <c r="AQ55" s="97"/>
      <c r="AR55" s="93"/>
      <c r="AS55" s="93"/>
      <c r="AT55" s="36"/>
      <c r="AU55" s="36"/>
      <c r="AV55" s="36"/>
      <c r="AW55" s="36"/>
      <c r="AX55" s="36"/>
      <c r="AY55" s="36"/>
      <c r="AZ55" s="36"/>
      <c r="BA55" s="36"/>
      <c r="BB55" s="36"/>
      <c r="BC55" s="8"/>
      <c r="BD55" s="36"/>
      <c r="BE55" s="36"/>
      <c r="BF55" s="36"/>
      <c r="BG55" s="36"/>
      <c r="BH55" s="36"/>
      <c r="BI55" s="36"/>
      <c r="BJ55" s="36"/>
      <c r="BK55" s="36"/>
      <c r="BL55" s="22"/>
      <c r="BM55" s="22"/>
      <c r="BN55" s="22"/>
      <c r="BO55" s="22"/>
      <c r="BP55" s="22"/>
      <c r="BQ55" s="22"/>
      <c r="BR55" s="22"/>
      <c r="BS55" s="22"/>
      <c r="BT55" s="22"/>
      <c r="BU55" s="88"/>
      <c r="BV55" s="22"/>
      <c r="BW55" s="36"/>
      <c r="CC55" s="9" t="s">
        <v>90</v>
      </c>
      <c r="CD55" t="s">
        <v>56</v>
      </c>
      <c r="CP55" s="8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1"/>
    </row>
    <row r="56" spans="3:111" ht="15.75" customHeight="1">
      <c r="C56" s="5"/>
      <c r="D56" s="5"/>
      <c r="E56" s="5"/>
      <c r="F56" s="5"/>
      <c r="G56" s="5"/>
      <c r="H56" s="5"/>
      <c r="I56" s="5"/>
      <c r="J56" s="5"/>
      <c r="O56" s="62"/>
      <c r="P56" s="62"/>
      <c r="Q56" s="26"/>
      <c r="R56" s="26"/>
      <c r="S56" s="180" t="str">
        <f>IF($S$55=Dades!$E$32,"Ontinyent","")</f>
        <v/>
      </c>
      <c r="T56" s="28"/>
      <c r="U56" s="28"/>
      <c r="V56" s="28"/>
      <c r="W56" s="28"/>
      <c r="X56" s="28"/>
      <c r="Y56" s="28"/>
      <c r="Z56" s="28"/>
      <c r="AA56" s="120"/>
      <c r="AB56" s="121" t="str">
        <f>IF($AA$57=Dades!$E$20,"Molt bé!!!","")</f>
        <v/>
      </c>
      <c r="AC56" s="120"/>
      <c r="AD56" s="120"/>
      <c r="AE56" s="120"/>
      <c r="AF56" s="120"/>
      <c r="AG56" s="36"/>
      <c r="AH56" s="93"/>
      <c r="AI56" s="93"/>
      <c r="AJ56" s="93"/>
      <c r="AK56" s="97"/>
      <c r="AL56" s="97"/>
      <c r="AM56" s="93"/>
      <c r="AN56" s="93"/>
      <c r="AO56" s="93"/>
      <c r="AP56" s="93"/>
      <c r="AQ56" s="97"/>
      <c r="AR56" s="93"/>
      <c r="AS56" s="93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22"/>
      <c r="BM56" s="22"/>
      <c r="BN56" s="22"/>
      <c r="BO56" s="22"/>
      <c r="BP56" s="22"/>
      <c r="BQ56" s="22"/>
      <c r="BR56" s="22"/>
      <c r="BS56" s="22"/>
      <c r="BT56" s="22"/>
      <c r="BU56" s="88"/>
      <c r="BV56" s="22"/>
      <c r="BW56" s="36"/>
      <c r="CC56" s="9" t="s">
        <v>90</v>
      </c>
      <c r="CD56" s="9" t="s">
        <v>102</v>
      </c>
      <c r="CP56" s="8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1"/>
    </row>
    <row r="57" spans="3:111" ht="15.75" customHeight="1">
      <c r="C57" s="5"/>
      <c r="D57" s="5"/>
      <c r="E57" s="5"/>
      <c r="F57" s="5"/>
      <c r="G57" s="5"/>
      <c r="H57" s="5"/>
      <c r="I57" s="5"/>
      <c r="J57" s="5"/>
      <c r="O57" s="61"/>
      <c r="P57" s="61"/>
      <c r="Q57" s="28"/>
      <c r="R57" s="28"/>
      <c r="S57" s="28"/>
      <c r="T57" s="180" t="str">
        <f>IF($S$55=Dades!$E$32,"O","")</f>
        <v/>
      </c>
      <c r="U57" s="244"/>
      <c r="V57" s="65"/>
      <c r="W57" s="65"/>
      <c r="X57" s="65"/>
      <c r="Y57" s="65"/>
      <c r="Z57" s="65"/>
      <c r="AA57" s="208"/>
      <c r="AB57" s="120"/>
      <c r="AC57" s="120"/>
      <c r="AD57" s="120"/>
      <c r="AE57" s="120"/>
      <c r="AF57" s="120"/>
      <c r="AG57" s="120"/>
      <c r="AH57" s="152" t="str">
        <f>IF($AA$57=Dades!$E$20,"O","")</f>
        <v/>
      </c>
      <c r="AI57" s="97"/>
      <c r="AJ57" s="97"/>
      <c r="AK57" s="93"/>
      <c r="AL57" s="93"/>
      <c r="AM57" s="93"/>
      <c r="AN57" s="93"/>
      <c r="AO57" s="93"/>
      <c r="AP57" s="93"/>
      <c r="AQ57" s="93"/>
      <c r="AR57" s="97"/>
      <c r="AS57" s="93"/>
      <c r="AT57" s="36"/>
      <c r="AU57" s="36"/>
      <c r="AV57" s="36"/>
      <c r="AW57" s="36"/>
      <c r="AX57" s="136" t="s">
        <v>71</v>
      </c>
      <c r="AY57" s="36"/>
      <c r="AZ57" s="22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86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36"/>
      <c r="CC57" s="9" t="s">
        <v>90</v>
      </c>
      <c r="CD57" t="s">
        <v>58</v>
      </c>
      <c r="CP57" s="8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1"/>
    </row>
    <row r="58" spans="3:111" ht="15.75" customHeight="1" thickBot="1">
      <c r="C58" s="5"/>
      <c r="D58" s="5"/>
      <c r="E58" s="5"/>
      <c r="F58" s="5"/>
      <c r="G58" s="5"/>
      <c r="H58" s="5"/>
      <c r="I58" s="5"/>
      <c r="J58" s="5"/>
      <c r="O58" s="61"/>
      <c r="P58" s="61"/>
      <c r="Q58" s="28"/>
      <c r="R58" s="28"/>
      <c r="S58" s="28"/>
      <c r="T58" s="28"/>
      <c r="U58" s="212"/>
      <c r="V58" s="65"/>
      <c r="W58" s="65"/>
      <c r="X58" s="65"/>
      <c r="Y58" s="65"/>
      <c r="Z58" s="65"/>
      <c r="AA58" s="121"/>
      <c r="AB58" s="120"/>
      <c r="AC58" s="120"/>
      <c r="AD58" s="120"/>
      <c r="AE58" s="120"/>
      <c r="AF58" s="152" t="str">
        <f>IF($AA$57=Dades!$E$20,"Dènia","")</f>
        <v/>
      </c>
      <c r="AG58" s="120"/>
      <c r="AH58" s="120"/>
      <c r="AI58" s="97"/>
      <c r="AJ58" s="97"/>
      <c r="AK58" s="93"/>
      <c r="AL58" s="93"/>
      <c r="AM58" s="93"/>
      <c r="AN58" s="93"/>
      <c r="AO58" s="93"/>
      <c r="AP58" s="93"/>
      <c r="AQ58" s="93"/>
      <c r="AR58" s="97"/>
      <c r="AS58" s="93"/>
      <c r="AT58" s="36"/>
      <c r="AU58" s="36"/>
      <c r="AV58" s="36"/>
      <c r="AW58" s="36"/>
      <c r="AY58" s="36"/>
      <c r="AZ58" s="22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86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36"/>
      <c r="CC58" s="9" t="s">
        <v>90</v>
      </c>
      <c r="CD58" s="9" t="s">
        <v>104</v>
      </c>
      <c r="CP58" s="8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1"/>
    </row>
    <row r="59" spans="3:111" ht="15.75" customHeight="1" thickBot="1">
      <c r="C59" s="5"/>
      <c r="D59" s="5"/>
      <c r="E59" s="5"/>
      <c r="F59" s="5"/>
      <c r="G59" s="5"/>
      <c r="H59" s="5"/>
      <c r="I59" s="5"/>
      <c r="J59" s="5"/>
      <c r="M59" s="233"/>
      <c r="N59" s="108"/>
      <c r="O59" s="10"/>
      <c r="P59" s="10"/>
      <c r="Q59" s="18"/>
      <c r="R59" s="18"/>
      <c r="S59" s="226"/>
      <c r="T59" s="37"/>
      <c r="U59" s="114" t="str">
        <f>IF($U$58=Dades!$E$15,"Molt bé!!!","")</f>
        <v/>
      </c>
      <c r="V59" s="65"/>
      <c r="W59" s="65"/>
      <c r="X59" s="65"/>
      <c r="Y59" s="65"/>
      <c r="Z59" s="65"/>
      <c r="AA59" s="233"/>
      <c r="AB59" s="18"/>
      <c r="AC59" s="25"/>
      <c r="AD59" s="25"/>
      <c r="AE59" s="120"/>
      <c r="AF59" s="120"/>
      <c r="AG59" s="120"/>
      <c r="AH59" s="93"/>
      <c r="AI59" s="93"/>
      <c r="AJ59" s="93"/>
      <c r="AK59" s="97"/>
      <c r="AL59" s="97"/>
      <c r="AM59" s="93"/>
      <c r="AN59" s="93"/>
      <c r="AO59" s="93"/>
      <c r="AP59" s="93"/>
      <c r="AQ59" s="93"/>
      <c r="AR59" s="93"/>
      <c r="AS59" s="97"/>
      <c r="AT59" s="36"/>
      <c r="AU59" s="36"/>
      <c r="AV59" s="36"/>
      <c r="AW59" s="36"/>
      <c r="AX59" s="135" t="str">
        <f t="shared" ref="AX59:AX62" ca="1" si="5">INDEX($BC$12:$BC$46,RANDBETWEEN(1,COUNTA($BC$12:$BC$46)),1)</f>
        <v>L'ALCALATÉN</v>
      </c>
      <c r="AY59" s="36"/>
      <c r="AZ59" s="36"/>
      <c r="BA59" s="36"/>
      <c r="BB59" s="36"/>
      <c r="BC59" s="36"/>
      <c r="BD59" s="36"/>
      <c r="BE59" s="32"/>
      <c r="BF59" s="36"/>
      <c r="BG59" s="36"/>
      <c r="BH59" s="36"/>
      <c r="BI59" s="36"/>
      <c r="BJ59" s="32"/>
      <c r="BK59" s="36"/>
      <c r="BL59" s="86"/>
      <c r="BM59" s="22"/>
      <c r="BN59" s="22"/>
      <c r="BO59" s="22"/>
      <c r="BP59" s="80"/>
      <c r="BQ59" s="22"/>
      <c r="BR59" s="22"/>
      <c r="BS59" s="22"/>
      <c r="BT59" s="22"/>
      <c r="BU59" s="80"/>
      <c r="BV59" s="22"/>
      <c r="BW59" s="36"/>
      <c r="CC59" s="9" t="s">
        <v>90</v>
      </c>
      <c r="CD59" t="s">
        <v>60</v>
      </c>
      <c r="CP59" s="8"/>
      <c r="CQ59" s="2"/>
      <c r="CR59" s="2"/>
      <c r="CS59" s="2"/>
      <c r="CT59" s="2"/>
      <c r="CU59" s="2"/>
      <c r="CV59" s="7"/>
      <c r="CW59" s="6"/>
      <c r="CX59" s="2"/>
      <c r="CY59" s="2"/>
      <c r="CZ59" s="2"/>
      <c r="DA59" s="2"/>
      <c r="DB59" s="2"/>
      <c r="DC59" s="2"/>
      <c r="DD59" s="2"/>
      <c r="DE59" s="2"/>
      <c r="DF59" s="2"/>
      <c r="DG59" s="1"/>
    </row>
    <row r="60" spans="3:111" ht="15.75" customHeight="1" thickBot="1">
      <c r="C60" s="5"/>
      <c r="D60" s="5"/>
      <c r="E60" s="5"/>
      <c r="F60" s="5"/>
      <c r="G60" s="5"/>
      <c r="H60" s="5"/>
      <c r="I60" s="5"/>
      <c r="J60" s="5"/>
      <c r="M60" s="10"/>
      <c r="N60" s="10"/>
      <c r="O60" s="10"/>
      <c r="P60" s="10"/>
      <c r="Q60" s="18"/>
      <c r="R60" s="18"/>
      <c r="S60" s="107"/>
      <c r="T60" s="37"/>
      <c r="U60" s="65"/>
      <c r="V60" s="65"/>
      <c r="W60" s="65"/>
      <c r="X60" s="65"/>
      <c r="Y60" s="65"/>
      <c r="Z60" s="65"/>
      <c r="AA60" s="18"/>
      <c r="AB60" s="18"/>
      <c r="AC60" s="25"/>
      <c r="AD60" s="25"/>
      <c r="AE60" s="120"/>
      <c r="AF60" s="120"/>
      <c r="AG60" s="120"/>
      <c r="AH60" s="93"/>
      <c r="AI60" s="93"/>
      <c r="AJ60" s="93"/>
      <c r="AK60" s="97"/>
      <c r="AL60" s="97"/>
      <c r="AM60" s="93"/>
      <c r="AN60" s="93"/>
      <c r="AO60" s="93"/>
      <c r="AP60" s="93"/>
      <c r="AQ60" s="93"/>
      <c r="AR60" s="93"/>
      <c r="AS60" s="97"/>
      <c r="AT60" s="36"/>
      <c r="AU60" s="36"/>
      <c r="AV60" s="36"/>
      <c r="AW60" s="36"/>
      <c r="AX60" s="135" t="str">
        <f t="shared" ca="1" si="5"/>
        <v>LA RIBERA ALTA</v>
      </c>
      <c r="AY60" s="36"/>
      <c r="AZ60" s="36"/>
      <c r="BA60" s="36"/>
      <c r="BB60" s="36"/>
      <c r="BC60" s="36"/>
      <c r="BD60" s="36"/>
      <c r="BE60" s="32"/>
      <c r="BF60" s="36"/>
      <c r="BG60" s="36"/>
      <c r="BH60" s="36"/>
      <c r="BI60" s="36"/>
      <c r="BJ60" s="32"/>
      <c r="BK60" s="36"/>
      <c r="BL60" s="86"/>
      <c r="BM60" s="22"/>
      <c r="BN60" s="22"/>
      <c r="BO60" s="22"/>
      <c r="BP60" s="80"/>
      <c r="BQ60" s="22"/>
      <c r="BR60" s="22"/>
      <c r="BS60" s="22"/>
      <c r="BT60" s="22"/>
      <c r="BU60" s="80"/>
      <c r="BV60" s="22"/>
      <c r="BW60" s="36"/>
      <c r="CC60" s="9" t="s">
        <v>90</v>
      </c>
      <c r="CD60" s="9" t="s">
        <v>108</v>
      </c>
      <c r="CP60" s="8"/>
      <c r="CQ60" s="2"/>
      <c r="CR60" s="2"/>
      <c r="CS60" s="2"/>
      <c r="CT60" s="2"/>
      <c r="CU60" s="2"/>
      <c r="CV60" s="7"/>
      <c r="CW60" s="6"/>
      <c r="CX60" s="2"/>
      <c r="CY60" s="2"/>
      <c r="CZ60" s="2"/>
      <c r="DA60" s="2"/>
      <c r="DB60" s="2"/>
      <c r="DC60" s="2"/>
      <c r="DD60" s="2"/>
      <c r="DE60" s="2"/>
      <c r="DF60" s="2"/>
      <c r="DG60" s="1"/>
    </row>
    <row r="61" spans="3:111" ht="15.75" customHeight="1" thickBot="1">
      <c r="C61" s="5"/>
      <c r="D61" s="5"/>
      <c r="E61" s="5"/>
      <c r="F61" s="5"/>
      <c r="G61" s="5"/>
      <c r="H61" s="5"/>
      <c r="I61" s="5"/>
      <c r="J61" s="5"/>
      <c r="M61" s="213"/>
      <c r="N61" s="10"/>
      <c r="O61" s="10"/>
      <c r="P61" s="10"/>
      <c r="Q61" s="74" t="str">
        <f>IF($AA$53=Dades!$F$6,"riu Noguera Ribagorçana","")</f>
        <v/>
      </c>
      <c r="R61" s="74"/>
      <c r="S61" s="193"/>
      <c r="T61" s="37"/>
      <c r="U61" s="157" t="str">
        <f>IF($S$61=Dades!$E$3,"O","")</f>
        <v/>
      </c>
      <c r="V61" s="143" t="str">
        <f>IF($S$61=Dades!$E$3,"Alcoi","")</f>
        <v/>
      </c>
      <c r="W61" s="37"/>
      <c r="X61" s="37"/>
      <c r="Y61" s="37"/>
      <c r="Z61" s="37"/>
      <c r="AA61" s="213"/>
      <c r="AB61" s="18"/>
      <c r="AC61" s="18"/>
      <c r="AD61" s="18"/>
      <c r="AE61" s="18"/>
      <c r="AF61" s="18"/>
      <c r="AG61" s="93"/>
      <c r="AH61" s="93"/>
      <c r="AI61" s="93"/>
      <c r="AJ61" s="93"/>
      <c r="AK61" s="97"/>
      <c r="AL61" s="97"/>
      <c r="AM61" s="93"/>
      <c r="AN61" s="93"/>
      <c r="AO61" s="93"/>
      <c r="AP61" s="93"/>
      <c r="AQ61" s="93"/>
      <c r="AR61" s="93"/>
      <c r="AS61" s="93"/>
      <c r="AT61" s="36"/>
      <c r="AU61" s="36"/>
      <c r="AV61" s="36"/>
      <c r="AW61" s="36"/>
      <c r="AX61" s="135" t="str">
        <f t="shared" ca="1" si="5"/>
        <v>EL CAMP DE TÚRIA</v>
      </c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22"/>
      <c r="BM61" s="22"/>
      <c r="BN61" s="80"/>
      <c r="BO61" s="22"/>
      <c r="BP61" s="22"/>
      <c r="BQ61" s="22"/>
      <c r="BR61" s="22"/>
      <c r="BS61" s="22"/>
      <c r="BT61" s="22"/>
      <c r="BU61" s="22"/>
      <c r="BV61" s="22"/>
      <c r="BW61" s="36"/>
      <c r="CC61" s="9" t="s">
        <v>90</v>
      </c>
      <c r="CD61" t="s">
        <v>62</v>
      </c>
      <c r="CP61" s="8"/>
      <c r="CQ61" s="2"/>
      <c r="CR61" s="2"/>
      <c r="CS61" s="2"/>
      <c r="CT61" s="2"/>
      <c r="CU61" s="2"/>
      <c r="CV61" s="2"/>
      <c r="CW61" s="7"/>
      <c r="CX61" s="2"/>
      <c r="CY61" s="2"/>
      <c r="CZ61" s="2"/>
      <c r="DA61" s="2"/>
      <c r="DB61" s="2"/>
      <c r="DC61" s="2"/>
      <c r="DD61" s="2"/>
      <c r="DE61" s="2"/>
      <c r="DF61" s="2"/>
      <c r="DG61" s="1"/>
    </row>
    <row r="62" spans="3:111" ht="15.75" customHeight="1" thickBot="1">
      <c r="C62" s="5"/>
      <c r="D62" s="5"/>
      <c r="E62" s="5"/>
      <c r="F62" s="5"/>
      <c r="G62" s="5"/>
      <c r="H62" s="5"/>
      <c r="I62" s="5"/>
      <c r="J62" s="5"/>
      <c r="M62" s="10"/>
      <c r="N62" s="10"/>
      <c r="O62" s="153" t="str">
        <f>IF($M$61=Dades!$E$8,"O","")</f>
        <v/>
      </c>
      <c r="P62" s="10"/>
      <c r="Q62" s="74"/>
      <c r="R62" s="74"/>
      <c r="S62" s="37"/>
      <c r="T62" s="107"/>
      <c r="U62" s="107"/>
      <c r="V62" s="71"/>
      <c r="W62" s="37"/>
      <c r="X62" s="37"/>
      <c r="Y62" s="37"/>
      <c r="Z62" s="37"/>
      <c r="AA62" s="18"/>
      <c r="AB62" s="18"/>
      <c r="AC62" s="108"/>
      <c r="AD62" s="18"/>
      <c r="AE62" s="18"/>
      <c r="AF62" s="18"/>
      <c r="AG62" s="93"/>
      <c r="AH62" s="93"/>
      <c r="AI62" s="93"/>
      <c r="AJ62" s="93"/>
      <c r="AK62" s="97"/>
      <c r="AL62" s="97"/>
      <c r="AM62" s="93"/>
      <c r="AN62" s="93"/>
      <c r="AO62" s="93"/>
      <c r="AP62" s="93"/>
      <c r="AQ62" s="93"/>
      <c r="AR62" s="93"/>
      <c r="AS62" s="93"/>
      <c r="AT62" s="36"/>
      <c r="AU62" s="36"/>
      <c r="AV62" s="36"/>
      <c r="AW62" s="36"/>
      <c r="AX62" s="135" t="str">
        <f t="shared" ca="1" si="5"/>
        <v>EL VINALOPÓ MITJÀ</v>
      </c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22"/>
      <c r="BM62" s="22"/>
      <c r="BN62" s="80"/>
      <c r="BO62" s="22"/>
      <c r="BP62" s="22"/>
      <c r="BQ62" s="22"/>
      <c r="BR62" s="22"/>
      <c r="BS62" s="22"/>
      <c r="BT62" s="22"/>
      <c r="BU62" s="22"/>
      <c r="BV62" s="22"/>
      <c r="BW62" s="36"/>
      <c r="CC62" s="9" t="s">
        <v>90</v>
      </c>
      <c r="CD62" s="9" t="s">
        <v>105</v>
      </c>
      <c r="CP62" s="8"/>
      <c r="CQ62" s="2"/>
      <c r="CR62" s="2"/>
      <c r="CS62" s="2"/>
      <c r="CT62" s="2"/>
      <c r="CU62" s="2"/>
      <c r="CV62" s="2"/>
      <c r="CW62" s="7"/>
      <c r="CX62" s="2"/>
      <c r="CY62" s="2"/>
      <c r="CZ62" s="2"/>
      <c r="DA62" s="2"/>
      <c r="DB62" s="2"/>
      <c r="DC62" s="2"/>
      <c r="DD62" s="2"/>
      <c r="DE62" s="2"/>
      <c r="DF62" s="2"/>
      <c r="DG62" s="1"/>
    </row>
    <row r="63" spans="3:111" ht="15.75" customHeight="1">
      <c r="C63" s="5"/>
      <c r="D63" s="5"/>
      <c r="E63" s="5"/>
      <c r="F63" s="5"/>
      <c r="G63" s="5"/>
      <c r="H63" s="5"/>
      <c r="I63" s="5"/>
      <c r="J63" s="5"/>
      <c r="M63" s="108"/>
      <c r="N63" s="10"/>
      <c r="O63" s="153" t="str">
        <f>IF($M$61=Dades!$E$8,"Villena","")</f>
        <v/>
      </c>
      <c r="P63" s="10"/>
      <c r="Q63" s="18"/>
      <c r="R63" s="18"/>
      <c r="S63" s="235"/>
      <c r="T63" s="69"/>
      <c r="U63" s="69"/>
      <c r="V63" s="69"/>
      <c r="W63" s="69"/>
      <c r="X63" s="69"/>
      <c r="Y63" s="69"/>
      <c r="Z63" s="69"/>
      <c r="AA63" s="108"/>
      <c r="AB63" s="18"/>
      <c r="AC63" s="18"/>
      <c r="AD63" s="18"/>
      <c r="AE63" s="18"/>
      <c r="AF63" s="18"/>
      <c r="AG63" s="93"/>
      <c r="AH63" s="93"/>
      <c r="AI63" s="93"/>
      <c r="AJ63" s="93"/>
      <c r="AK63" s="93"/>
      <c r="AL63" s="93"/>
      <c r="AM63" s="97"/>
      <c r="AN63" s="97"/>
      <c r="AO63" s="93"/>
      <c r="AP63" s="93"/>
      <c r="AQ63" s="93"/>
      <c r="AR63" s="93"/>
      <c r="AS63" s="93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36"/>
      <c r="CC63" s="9" t="s">
        <v>90</v>
      </c>
      <c r="CD63" t="s">
        <v>63</v>
      </c>
      <c r="CP63" s="8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1"/>
    </row>
    <row r="64" spans="3:111" ht="15.75" customHeight="1">
      <c r="C64" s="5"/>
      <c r="D64" s="5"/>
      <c r="E64" s="5"/>
      <c r="F64" s="5"/>
      <c r="G64" s="5"/>
      <c r="H64" s="5"/>
      <c r="I64" s="5"/>
      <c r="J64" s="5"/>
      <c r="M64" s="10"/>
      <c r="N64" s="10"/>
      <c r="O64" s="10"/>
      <c r="P64" s="10"/>
      <c r="Q64" s="18"/>
      <c r="R64" s="18"/>
      <c r="S64" s="69"/>
      <c r="T64" s="125"/>
      <c r="U64" s="69"/>
      <c r="V64" s="69"/>
      <c r="W64" s="69"/>
      <c r="X64" s="69"/>
      <c r="Y64" s="69"/>
      <c r="Z64" s="69"/>
      <c r="AA64" s="187" t="str">
        <f>IF($AA$61=Dades!$E$21,"La Vila Joiosa","")</f>
        <v/>
      </c>
      <c r="AB64" s="18"/>
      <c r="AC64" s="18"/>
      <c r="AD64" s="18"/>
      <c r="AE64" s="18"/>
      <c r="AF64" s="104"/>
      <c r="AG64" s="93"/>
      <c r="AH64" s="93"/>
      <c r="AI64" s="93"/>
      <c r="AJ64" s="93"/>
      <c r="AK64" s="93"/>
      <c r="AL64" s="93"/>
      <c r="AM64" s="97"/>
      <c r="AN64" s="97"/>
      <c r="AO64" s="93"/>
      <c r="AP64" s="93"/>
      <c r="AQ64" s="93"/>
      <c r="AR64" s="93"/>
      <c r="AS64" s="93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36"/>
      <c r="CC64" s="9" t="s">
        <v>90</v>
      </c>
      <c r="CD64" s="9" t="s">
        <v>106</v>
      </c>
      <c r="CP64" s="8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1"/>
    </row>
    <row r="65" spans="3:111" ht="15.75" customHeight="1">
      <c r="C65" s="5"/>
      <c r="D65" s="5"/>
      <c r="E65" s="5"/>
      <c r="F65" s="5"/>
      <c r="G65" s="5"/>
      <c r="H65" s="5"/>
      <c r="I65" s="5"/>
      <c r="J65" s="5"/>
      <c r="M65" s="234"/>
      <c r="N65" s="73"/>
      <c r="O65" s="73"/>
      <c r="P65" s="73"/>
      <c r="Q65" s="69"/>
      <c r="R65" s="69"/>
      <c r="S65" s="214"/>
      <c r="T65" s="69"/>
      <c r="U65" s="69"/>
      <c r="V65" s="69"/>
      <c r="W65" s="69"/>
      <c r="X65" s="69"/>
      <c r="Y65" s="69"/>
      <c r="Z65" s="69"/>
      <c r="AA65" s="18"/>
      <c r="AB65" s="153" t="str">
        <f>IF($AA$61=Dades!$E$21,"O","")</f>
        <v/>
      </c>
      <c r="AC65" s="18"/>
      <c r="AD65" s="18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100" t="str">
        <f>IF($AM$72=Dades!$F$27,"Molt bé!!!","")</f>
        <v/>
      </c>
      <c r="AP65" s="93"/>
      <c r="AQ65" s="93"/>
      <c r="AR65" s="93"/>
      <c r="AS65" s="93"/>
      <c r="AT65" s="36"/>
      <c r="AU65" s="36"/>
      <c r="AV65" s="22" t="str">
        <f ca="1">IF($AX$61=Dades!$F$5,"Molt bé!!!",IF($AX$61=Dades!$G$5,"Molt bé!!!",""))</f>
        <v/>
      </c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22"/>
      <c r="BM65" s="22"/>
      <c r="BN65" s="22"/>
      <c r="BO65" s="22"/>
      <c r="BP65" s="22"/>
      <c r="BQ65" s="22"/>
      <c r="BR65" s="80"/>
      <c r="BS65" s="22"/>
      <c r="BT65" s="22"/>
      <c r="BU65" s="56"/>
      <c r="BV65" s="22"/>
      <c r="BW65" s="36"/>
      <c r="CC65" s="9" t="s">
        <v>90</v>
      </c>
      <c r="CD65" t="s">
        <v>117</v>
      </c>
      <c r="CP65" s="8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1"/>
    </row>
    <row r="66" spans="3:111" ht="15.75" customHeight="1">
      <c r="C66" s="5"/>
      <c r="D66" s="5"/>
      <c r="E66" s="5"/>
      <c r="F66" s="5"/>
      <c r="G66" s="5"/>
      <c r="H66" s="5"/>
      <c r="I66" s="5"/>
      <c r="J66" s="5"/>
      <c r="M66" s="73"/>
      <c r="N66" s="145" t="str">
        <f>IF($M$67=Dades!$E$34,"O","")</f>
        <v/>
      </c>
      <c r="O66" s="145" t="str">
        <f>IF($M$67=Dades!$E$34,"Elda","")</f>
        <v/>
      </c>
      <c r="P66" s="73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18"/>
      <c r="AB66" s="18"/>
      <c r="AC66" s="18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100"/>
      <c r="AP66" s="93"/>
      <c r="AQ66" s="93"/>
      <c r="AR66" s="93"/>
      <c r="AS66" s="93"/>
      <c r="AT66" s="36"/>
      <c r="AU66" s="36"/>
      <c r="AV66" s="22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22"/>
      <c r="BM66" s="22"/>
      <c r="BN66" s="22"/>
      <c r="BO66" s="22"/>
      <c r="BP66" s="22"/>
      <c r="BQ66" s="22"/>
      <c r="BR66" s="80"/>
      <c r="BS66" s="22"/>
      <c r="BT66" s="22"/>
      <c r="BU66" s="56"/>
      <c r="BV66" s="22"/>
      <c r="BW66" s="36"/>
      <c r="CC66" s="9" t="s">
        <v>90</v>
      </c>
      <c r="CD66" s="9" t="s">
        <v>107</v>
      </c>
      <c r="CP66" s="8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1"/>
    </row>
    <row r="67" spans="3:111" ht="15.75" customHeight="1">
      <c r="C67" s="5"/>
      <c r="D67" s="5"/>
      <c r="E67" s="5"/>
      <c r="F67" s="5"/>
      <c r="G67" s="5"/>
      <c r="H67" s="5"/>
      <c r="J67" s="5"/>
      <c r="M67" s="194"/>
      <c r="N67" s="73"/>
      <c r="O67" s="73"/>
      <c r="P67" s="73"/>
      <c r="Q67" s="13"/>
      <c r="R67" s="13"/>
      <c r="S67" s="155"/>
      <c r="T67" s="155"/>
      <c r="U67" s="155" t="str">
        <f>IF($S$65=Dades!$E$2,"Alacant","")</f>
        <v/>
      </c>
      <c r="V67" s="69"/>
      <c r="W67" s="154" t="str">
        <f>IF($S$65=Dades!$E$2,"O","")</f>
        <v/>
      </c>
      <c r="X67" s="154"/>
      <c r="Y67" s="154"/>
      <c r="Z67" s="69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7"/>
      <c r="AN67" s="97"/>
      <c r="AO67" s="93"/>
      <c r="AP67" s="93"/>
      <c r="AQ67" s="93"/>
      <c r="AR67" s="93"/>
      <c r="AS67" s="93"/>
      <c r="AT67" s="36"/>
      <c r="AU67" s="36"/>
      <c r="AV67" s="36"/>
      <c r="AW67" s="32"/>
      <c r="AX67" s="36"/>
      <c r="AY67" s="36"/>
      <c r="AZ67" s="36"/>
      <c r="BA67" s="36"/>
      <c r="BB67" s="36"/>
      <c r="BC67" s="36"/>
      <c r="BD67" s="36"/>
      <c r="BE67" s="36"/>
      <c r="BF67" s="80"/>
      <c r="BG67" s="36"/>
      <c r="BH67" s="36"/>
      <c r="BI67" s="36"/>
      <c r="BJ67" s="36"/>
      <c r="BK67" s="36"/>
      <c r="BL67" s="22"/>
      <c r="BM67" s="22"/>
      <c r="BN67" s="81"/>
      <c r="BO67" s="22"/>
      <c r="BP67" s="22"/>
      <c r="BQ67" s="22"/>
      <c r="BR67" s="22"/>
      <c r="BS67" s="22"/>
      <c r="BT67" s="22"/>
      <c r="BU67" s="22"/>
      <c r="BV67" s="22"/>
      <c r="BW67" s="32"/>
      <c r="CC67" s="9" t="s">
        <v>90</v>
      </c>
      <c r="CD67" t="s">
        <v>69</v>
      </c>
      <c r="CP67" s="8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1"/>
    </row>
    <row r="68" spans="3:111" ht="15.75" customHeight="1">
      <c r="C68" s="5"/>
      <c r="D68" s="5"/>
      <c r="E68" s="5"/>
      <c r="F68" s="5"/>
      <c r="G68" s="5"/>
      <c r="H68" s="5"/>
      <c r="I68" s="5"/>
      <c r="J68" s="5"/>
      <c r="M68" s="118" t="str">
        <f>IF($M$67=Dades!$E$34,"Molt bé!!!","")</f>
        <v/>
      </c>
      <c r="N68" s="73"/>
      <c r="O68" s="73"/>
      <c r="P68" s="236"/>
      <c r="Q68" s="91"/>
      <c r="R68" s="91"/>
      <c r="S68" s="91"/>
      <c r="T68" s="91"/>
      <c r="U68" s="91"/>
      <c r="V68" s="91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100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36"/>
      <c r="AU68" s="32"/>
      <c r="AV68" s="36"/>
      <c r="AW68" s="36"/>
      <c r="AX68" s="36"/>
      <c r="AY68" s="36"/>
      <c r="AZ68" s="36"/>
      <c r="BA68" s="36"/>
      <c r="BB68" s="36"/>
      <c r="BC68" s="36"/>
      <c r="BD68" s="22"/>
      <c r="BE68" s="36"/>
      <c r="BF68" s="36"/>
      <c r="BG68" s="36"/>
      <c r="BH68" s="36"/>
      <c r="BI68" s="36"/>
      <c r="BJ68" s="36"/>
      <c r="BK68" s="36"/>
      <c r="BL68" s="22"/>
      <c r="BM68" s="22"/>
      <c r="BN68" s="22"/>
      <c r="BO68" s="22"/>
      <c r="BP68" s="22"/>
      <c r="BQ68" s="80"/>
      <c r="BR68" s="22"/>
      <c r="BS68" s="22"/>
      <c r="BT68" s="22"/>
      <c r="BU68" s="22"/>
      <c r="BV68" s="80"/>
      <c r="BW68" s="36"/>
      <c r="CC68" s="9" t="s">
        <v>90</v>
      </c>
      <c r="CD68" s="9" t="s">
        <v>103</v>
      </c>
      <c r="CP68" s="8"/>
      <c r="CQ68" s="2"/>
      <c r="CR68" s="2"/>
      <c r="CS68" s="7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1"/>
    </row>
    <row r="69" spans="3:111" ht="15.75" customHeight="1">
      <c r="C69" s="5"/>
      <c r="D69" s="5"/>
      <c r="E69" s="5"/>
      <c r="F69" s="5"/>
      <c r="G69" s="5"/>
      <c r="H69" s="5"/>
      <c r="I69" s="5"/>
      <c r="J69" s="5"/>
      <c r="M69" s="73"/>
      <c r="N69" s="73"/>
      <c r="O69" s="90"/>
      <c r="P69" s="90"/>
      <c r="Q69" s="123" t="str">
        <f>IF($O$70=Dades!$E$11,"O","")</f>
        <v/>
      </c>
      <c r="R69" s="156" t="str">
        <f>IF($O$70=Dades!$E$11,"Elx","")</f>
        <v/>
      </c>
      <c r="S69" s="91"/>
      <c r="T69" s="91"/>
      <c r="U69" s="91"/>
      <c r="V69" s="91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100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36"/>
      <c r="AU69" s="32"/>
      <c r="AV69" s="36"/>
      <c r="AW69" s="36"/>
      <c r="AX69" s="188" t="s">
        <v>72</v>
      </c>
      <c r="AY69" s="242">
        <f>35-$BR$48</f>
        <v>35</v>
      </c>
      <c r="AZ69" s="36"/>
      <c r="BA69" s="36"/>
      <c r="BB69" s="36"/>
      <c r="BC69" s="36"/>
      <c r="BD69" s="22"/>
      <c r="BE69" s="36"/>
      <c r="BF69" s="36"/>
      <c r="BG69" s="36"/>
      <c r="BH69" s="36"/>
      <c r="BI69" s="36"/>
      <c r="BJ69" s="36"/>
      <c r="BK69" s="36"/>
      <c r="BL69" s="22"/>
      <c r="BM69" s="22"/>
      <c r="BN69" s="22"/>
      <c r="BO69" s="22"/>
      <c r="BP69" s="22"/>
      <c r="BQ69" s="80"/>
      <c r="BR69" s="22"/>
      <c r="BS69" s="22"/>
      <c r="BT69" s="22"/>
      <c r="BU69" s="22"/>
      <c r="BV69" s="80"/>
      <c r="BW69" s="36"/>
      <c r="CC69" s="9" t="s">
        <v>90</v>
      </c>
      <c r="CD69" s="181" t="s">
        <v>77</v>
      </c>
      <c r="CP69" s="8"/>
      <c r="CQ69" s="2"/>
      <c r="CR69" s="2"/>
      <c r="CS69" s="7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1"/>
    </row>
    <row r="70" spans="3:111" ht="15.75" customHeight="1">
      <c r="C70" s="5"/>
      <c r="D70" s="5"/>
      <c r="E70" s="5"/>
      <c r="F70" s="5"/>
      <c r="G70" s="5"/>
      <c r="H70" s="5"/>
      <c r="I70" s="5"/>
      <c r="J70" s="5"/>
      <c r="M70" s="73"/>
      <c r="N70" s="73"/>
      <c r="O70" s="215"/>
      <c r="P70" s="90"/>
      <c r="Q70" s="91"/>
      <c r="R70" s="91"/>
      <c r="S70" s="91"/>
      <c r="T70" s="91"/>
      <c r="U70" s="93"/>
      <c r="V70" s="93"/>
      <c r="W70" s="93"/>
      <c r="X70" s="93"/>
      <c r="Y70" s="93"/>
      <c r="Z70" s="93"/>
      <c r="AA70" s="93"/>
      <c r="AB70" s="93"/>
      <c r="AC70" s="97"/>
      <c r="AD70" s="97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80"/>
      <c r="BH70" s="36"/>
      <c r="BI70" s="36"/>
      <c r="BJ70" s="36"/>
      <c r="BK70" s="36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36"/>
      <c r="CP70" s="8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1"/>
    </row>
    <row r="71" spans="3:111" ht="15.75" customHeight="1">
      <c r="C71" s="5"/>
      <c r="D71" s="5"/>
      <c r="E71" s="5"/>
      <c r="F71" s="5"/>
      <c r="G71" s="5"/>
      <c r="H71" s="5"/>
      <c r="I71" s="5"/>
      <c r="J71" s="5"/>
      <c r="M71" s="73"/>
      <c r="N71" s="73"/>
      <c r="O71" s="90"/>
      <c r="P71" s="90"/>
      <c r="Q71" s="91"/>
      <c r="R71" s="91"/>
      <c r="S71" s="91"/>
      <c r="T71" s="91"/>
      <c r="U71" s="93"/>
      <c r="V71" s="93"/>
      <c r="W71" s="93"/>
      <c r="X71" s="93"/>
      <c r="Y71" s="93"/>
      <c r="Z71" s="93"/>
      <c r="AA71" s="93"/>
      <c r="AB71" s="93"/>
      <c r="AC71" s="97"/>
      <c r="AD71" s="97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80"/>
      <c r="BH71" s="36"/>
      <c r="BI71" s="36"/>
      <c r="BJ71" s="36"/>
      <c r="BK71" s="36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36"/>
      <c r="CP71" s="8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1"/>
    </row>
    <row r="72" spans="3:111" ht="15.75" customHeight="1">
      <c r="C72" s="5"/>
      <c r="D72" s="5"/>
      <c r="E72" s="5"/>
      <c r="F72" s="5"/>
      <c r="G72" s="5"/>
      <c r="H72" s="5"/>
      <c r="I72" s="5"/>
      <c r="J72" s="5"/>
      <c r="M72" s="73"/>
      <c r="N72" s="73"/>
      <c r="O72" s="57"/>
      <c r="P72" s="90"/>
      <c r="Q72" s="123" t="str">
        <f>IF($O$70=Dades!$E$11,"Molt bé!!!","")</f>
        <v/>
      </c>
      <c r="R72" s="91"/>
      <c r="S72" s="91"/>
      <c r="T72" s="91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100"/>
      <c r="AF72" s="100"/>
      <c r="AG72" s="93"/>
      <c r="AH72" s="93"/>
      <c r="AI72" s="93"/>
      <c r="AJ72" s="93"/>
      <c r="AK72" s="93"/>
      <c r="AL72" s="93"/>
      <c r="AM72" s="101"/>
      <c r="AN72" s="101"/>
      <c r="AO72" s="93"/>
      <c r="AP72" s="93"/>
      <c r="AQ72" s="93"/>
      <c r="AR72" s="93"/>
      <c r="AS72" s="93"/>
      <c r="AT72" s="36"/>
      <c r="AU72" s="36"/>
      <c r="AV72" s="32"/>
      <c r="AW72" s="36"/>
      <c r="AX72" s="36"/>
      <c r="AY72" s="36"/>
      <c r="AZ72" s="36"/>
      <c r="BA72" s="36"/>
      <c r="BB72" s="36"/>
      <c r="BC72" s="78"/>
      <c r="BD72" s="36"/>
      <c r="BE72" s="36"/>
      <c r="BF72" s="36"/>
      <c r="BG72" s="36"/>
      <c r="BH72" s="36"/>
      <c r="BI72" s="36"/>
      <c r="BJ72" s="36"/>
      <c r="BK72" s="36"/>
      <c r="BL72" s="22"/>
      <c r="BM72" s="22"/>
      <c r="BN72" s="22"/>
      <c r="BO72" s="80"/>
      <c r="BP72" s="22"/>
      <c r="BQ72" s="22"/>
      <c r="BR72" s="22"/>
      <c r="BS72" s="22"/>
      <c r="BT72" s="22"/>
      <c r="BU72" s="22"/>
      <c r="BV72" s="80"/>
      <c r="BW72" s="22"/>
      <c r="CP72" s="8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1"/>
    </row>
    <row r="73" spans="3:111" ht="15.75" customHeight="1">
      <c r="C73" s="5"/>
      <c r="D73" s="5"/>
      <c r="E73" s="5"/>
      <c r="F73" s="5"/>
      <c r="G73" s="5"/>
      <c r="H73" s="5"/>
      <c r="I73" s="5"/>
      <c r="J73" s="5"/>
      <c r="M73" s="237"/>
      <c r="N73" s="57"/>
      <c r="O73" s="57"/>
      <c r="P73" s="90"/>
      <c r="Q73" s="91"/>
      <c r="R73" s="91"/>
      <c r="S73" s="91"/>
      <c r="T73" s="91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100"/>
      <c r="AF73" s="100"/>
      <c r="AG73" s="93"/>
      <c r="AH73" s="93"/>
      <c r="AI73" s="93"/>
      <c r="AJ73" s="93"/>
      <c r="AK73" s="93"/>
      <c r="AL73" s="93"/>
      <c r="AM73" s="101"/>
      <c r="AN73" s="101"/>
      <c r="AO73" s="93"/>
      <c r="AP73" s="93"/>
      <c r="AQ73" s="93"/>
      <c r="AR73" s="93"/>
      <c r="AS73" s="93"/>
      <c r="AT73" s="36"/>
      <c r="AU73" s="36"/>
      <c r="AV73" s="32"/>
      <c r="AW73" s="36"/>
      <c r="AX73" s="36"/>
      <c r="AY73" s="36"/>
      <c r="AZ73" s="36"/>
      <c r="BA73" s="36"/>
      <c r="BB73" s="36"/>
      <c r="BC73" s="78"/>
      <c r="BD73" s="36"/>
      <c r="BE73" s="36"/>
      <c r="BF73" s="36"/>
      <c r="BG73" s="36"/>
      <c r="BH73" s="36"/>
      <c r="BI73" s="36"/>
      <c r="BJ73" s="36"/>
      <c r="BK73" s="36"/>
      <c r="BL73" s="22"/>
      <c r="BM73" s="22"/>
      <c r="BN73" s="22"/>
      <c r="BO73" s="80"/>
      <c r="BP73" s="22"/>
      <c r="BQ73" s="22"/>
      <c r="BR73" s="22"/>
      <c r="BS73" s="22"/>
      <c r="BT73" s="22"/>
      <c r="BU73" s="22"/>
      <c r="BV73" s="80"/>
      <c r="BW73" s="22"/>
      <c r="CP73" s="8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1"/>
    </row>
    <row r="74" spans="3:111" ht="15.75" customHeight="1">
      <c r="C74" s="5"/>
      <c r="D74" s="5"/>
      <c r="E74" s="5"/>
      <c r="F74" s="5"/>
      <c r="G74" s="5"/>
      <c r="H74" s="5"/>
      <c r="I74" s="5"/>
      <c r="J74" s="5"/>
      <c r="M74" s="57"/>
      <c r="N74" s="150"/>
      <c r="O74" s="57"/>
      <c r="P74" s="57"/>
      <c r="Q74" s="48"/>
      <c r="R74" s="48"/>
      <c r="S74" s="48"/>
      <c r="T74" s="91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7"/>
      <c r="AF74" s="97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22"/>
      <c r="BM74" s="80"/>
      <c r="BN74" s="22"/>
      <c r="BO74" s="22"/>
      <c r="BP74" s="22"/>
      <c r="BQ74" s="80"/>
      <c r="BR74" s="22"/>
      <c r="BS74" s="22"/>
      <c r="BT74" s="22"/>
      <c r="BU74" s="22"/>
      <c r="BV74" s="22"/>
      <c r="BW74" s="36"/>
      <c r="CP74" s="8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1"/>
    </row>
    <row r="75" spans="3:111" ht="15.75" customHeight="1">
      <c r="C75" s="5"/>
      <c r="D75" s="5"/>
      <c r="E75" s="5"/>
      <c r="F75" s="5"/>
      <c r="G75" s="5"/>
      <c r="H75" s="5"/>
      <c r="I75" s="5"/>
      <c r="J75" s="5"/>
      <c r="M75" s="57"/>
      <c r="N75" s="57"/>
      <c r="O75" s="150"/>
      <c r="P75" s="57"/>
      <c r="Q75" s="48"/>
      <c r="R75" s="48"/>
      <c r="S75" s="48"/>
      <c r="T75" s="48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7"/>
      <c r="AF75" s="97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22"/>
      <c r="BM75" s="80"/>
      <c r="BN75" s="22"/>
      <c r="BO75" s="22"/>
      <c r="BP75" s="22"/>
      <c r="BQ75" s="80"/>
      <c r="BR75" s="22"/>
      <c r="BS75" s="22"/>
      <c r="BT75" s="22"/>
      <c r="BU75" s="22"/>
      <c r="BV75" s="22"/>
      <c r="BW75" s="36"/>
      <c r="CP75" s="8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1"/>
    </row>
    <row r="76" spans="3:111" ht="15.75" customHeight="1">
      <c r="C76" s="5"/>
      <c r="D76" s="5"/>
      <c r="E76" s="5"/>
      <c r="F76" s="5"/>
      <c r="G76" s="5"/>
      <c r="H76" s="5"/>
      <c r="I76" s="5"/>
      <c r="J76" s="5"/>
      <c r="N76" s="57"/>
      <c r="O76" s="197"/>
      <c r="P76" s="57"/>
      <c r="Q76" s="48"/>
      <c r="R76" s="48"/>
      <c r="S76" s="48"/>
      <c r="T76" s="48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7"/>
      <c r="AI76" s="97"/>
      <c r="AJ76" s="97"/>
      <c r="AK76" s="93"/>
      <c r="AL76" s="93"/>
      <c r="AM76" s="93"/>
      <c r="AN76" s="93"/>
      <c r="AO76" s="93"/>
      <c r="AP76" s="93"/>
      <c r="AQ76" s="93"/>
      <c r="AR76" s="93"/>
      <c r="AS76" s="93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81"/>
      <c r="BE76" s="36"/>
      <c r="BF76" s="36"/>
      <c r="BG76" s="36"/>
      <c r="BH76" s="36"/>
      <c r="BI76" s="36"/>
      <c r="BJ76" s="36"/>
      <c r="BK76" s="36"/>
      <c r="BL76" s="22"/>
      <c r="BM76" s="22"/>
      <c r="BN76" s="22"/>
      <c r="BO76" s="22"/>
      <c r="BP76" s="80"/>
      <c r="BQ76" s="22"/>
      <c r="BR76" s="22"/>
      <c r="BS76" s="22"/>
      <c r="BT76" s="22"/>
      <c r="BU76" s="22"/>
      <c r="BV76" s="22"/>
      <c r="BW76" s="36"/>
      <c r="CP76" s="8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1"/>
    </row>
    <row r="77" spans="3:111" ht="15.75" customHeight="1">
      <c r="C77" s="5"/>
      <c r="D77" s="5"/>
      <c r="E77" s="5"/>
      <c r="F77" s="5"/>
      <c r="G77" s="5"/>
      <c r="H77" s="5"/>
      <c r="I77" s="5"/>
      <c r="J77" s="5"/>
      <c r="N77" s="57"/>
      <c r="O77" s="150" t="str">
        <f>IF($O$76=Dades!$E$10,"O","")</f>
        <v/>
      </c>
      <c r="P77" s="150" t="str">
        <f>IF($O$76=Dades!$E$10,"Oriola","")</f>
        <v/>
      </c>
      <c r="Q77" s="48"/>
      <c r="R77" s="48"/>
      <c r="S77" s="48"/>
      <c r="T77" s="48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7"/>
      <c r="AI77" s="97"/>
      <c r="AJ77" s="97"/>
      <c r="AK77" s="93"/>
      <c r="AL77" s="93"/>
      <c r="AM77" s="93"/>
      <c r="AN77" s="93"/>
      <c r="AO77" s="93"/>
      <c r="AP77" s="93"/>
      <c r="AQ77" s="93"/>
      <c r="AR77" s="93"/>
      <c r="AS77" s="93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81"/>
      <c r="BE77" s="36"/>
      <c r="BF77" s="36"/>
      <c r="BG77" s="36"/>
      <c r="BH77" s="36"/>
      <c r="BI77" s="36"/>
      <c r="BJ77" s="36"/>
      <c r="BK77" s="36"/>
      <c r="BL77" s="22"/>
      <c r="BM77" s="22"/>
      <c r="BN77" s="22"/>
      <c r="BO77" s="22"/>
      <c r="BP77" s="80"/>
      <c r="BQ77" s="22"/>
      <c r="BR77" s="22"/>
      <c r="BS77" s="22"/>
      <c r="BT77" s="22"/>
      <c r="BU77" s="22"/>
      <c r="BV77" s="22"/>
      <c r="BW77" s="36"/>
      <c r="CP77" s="8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1"/>
    </row>
    <row r="78" spans="3:111" ht="15.75" customHeight="1">
      <c r="C78" s="5"/>
      <c r="D78" s="5"/>
      <c r="E78" s="5"/>
      <c r="F78" s="5"/>
      <c r="G78" s="5"/>
      <c r="H78" s="5"/>
      <c r="I78" s="5"/>
      <c r="J78" s="5"/>
      <c r="O78" s="57"/>
      <c r="P78" s="57"/>
      <c r="Q78" s="48"/>
      <c r="R78" s="48"/>
      <c r="S78" s="48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105" t="str">
        <f>IF($AM$72=Dades!$F$27,"riu Noguera Palleresa","")</f>
        <v/>
      </c>
      <c r="AH78" s="93"/>
      <c r="AI78" s="93"/>
      <c r="AJ78" s="93"/>
      <c r="AK78" s="93"/>
      <c r="AL78" s="93"/>
      <c r="AM78" s="93"/>
      <c r="AN78" s="93"/>
      <c r="AO78" s="93"/>
      <c r="AP78" s="97"/>
      <c r="AQ78" s="93"/>
      <c r="AR78" s="93"/>
      <c r="AS78" s="93"/>
      <c r="AT78" s="36"/>
      <c r="AU78" s="36"/>
      <c r="AV78" s="36"/>
      <c r="AW78" s="36"/>
      <c r="AX78" s="36"/>
      <c r="AY78" s="36"/>
      <c r="AZ78" s="36"/>
      <c r="BA78" s="36"/>
      <c r="BB78" s="36"/>
      <c r="BC78" s="41"/>
      <c r="BD78" s="36"/>
      <c r="BE78" s="36"/>
      <c r="BF78" s="36"/>
      <c r="BG78" s="36"/>
      <c r="BH78" s="36"/>
      <c r="BI78" s="36"/>
      <c r="BJ78" s="36"/>
      <c r="BK78" s="36"/>
      <c r="BL78" s="22"/>
      <c r="BM78" s="80"/>
      <c r="BN78" s="22"/>
      <c r="BO78" s="22"/>
      <c r="BP78" s="22"/>
      <c r="BQ78" s="22"/>
      <c r="BR78" s="22"/>
      <c r="BS78" s="22"/>
      <c r="BT78" s="22"/>
      <c r="BU78" s="22"/>
      <c r="BV78" s="56"/>
      <c r="BW78" s="36"/>
      <c r="CP78" s="8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1"/>
    </row>
    <row r="79" spans="3:111" ht="15.75" customHeight="1">
      <c r="C79" s="5"/>
      <c r="D79" s="5"/>
      <c r="E79" s="5"/>
      <c r="F79" s="5"/>
      <c r="G79" s="5"/>
      <c r="H79" s="5"/>
      <c r="I79" s="5"/>
      <c r="J79" s="5"/>
      <c r="O79" s="57"/>
      <c r="P79" s="57"/>
      <c r="Q79" s="48"/>
      <c r="R79" s="48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105"/>
      <c r="AH79" s="93"/>
      <c r="AI79" s="93"/>
      <c r="AJ79" s="93"/>
      <c r="AK79" s="93"/>
      <c r="AL79" s="93"/>
      <c r="AM79" s="93"/>
      <c r="AN79" s="93"/>
      <c r="AO79" s="93"/>
      <c r="AP79" s="97"/>
      <c r="AQ79" s="93"/>
      <c r="AR79" s="93"/>
      <c r="AS79" s="93"/>
      <c r="AT79" s="36"/>
      <c r="AU79" s="36"/>
      <c r="AV79" s="36"/>
      <c r="AW79" s="36"/>
      <c r="AX79" s="36"/>
      <c r="AY79" s="36"/>
      <c r="AZ79" s="36"/>
      <c r="BA79" s="36"/>
      <c r="BB79" s="36"/>
      <c r="BC79" s="41"/>
      <c r="BD79" s="36"/>
      <c r="BE79" s="36"/>
      <c r="BF79" s="36"/>
      <c r="BG79" s="36"/>
      <c r="BH79" s="36"/>
      <c r="BI79" s="36"/>
      <c r="BJ79" s="36"/>
      <c r="BK79" s="36"/>
      <c r="BL79" s="22"/>
      <c r="BM79" s="80"/>
      <c r="BN79" s="22"/>
      <c r="BO79" s="22"/>
      <c r="BP79" s="22"/>
      <c r="BQ79" s="22"/>
      <c r="BR79" s="22"/>
      <c r="BS79" s="22"/>
      <c r="BT79" s="22"/>
      <c r="BU79" s="22"/>
      <c r="BV79" s="56"/>
      <c r="BW79" s="36"/>
      <c r="CP79" s="8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1"/>
    </row>
    <row r="80" spans="3:111" ht="15.75" customHeight="1">
      <c r="C80" s="5"/>
      <c r="D80" s="5"/>
      <c r="E80" s="5"/>
      <c r="F80" s="5"/>
      <c r="G80" s="5"/>
      <c r="H80" s="5"/>
      <c r="I80" s="5"/>
      <c r="J80" s="5"/>
      <c r="O80" s="57"/>
      <c r="P80" s="57"/>
      <c r="Q80" s="48"/>
      <c r="R80" s="48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105"/>
      <c r="AH80" s="93"/>
      <c r="AI80" s="93"/>
      <c r="AJ80" s="93"/>
      <c r="AK80" s="93"/>
      <c r="AL80" s="93"/>
      <c r="AM80" s="93"/>
      <c r="AN80" s="93"/>
      <c r="AO80" s="93"/>
      <c r="AP80" s="97"/>
      <c r="AQ80" s="93"/>
      <c r="AR80" s="93"/>
      <c r="AS80" s="93"/>
      <c r="AT80" s="36"/>
      <c r="AU80" s="36"/>
      <c r="AV80" s="36"/>
      <c r="AW80" s="36"/>
      <c r="AX80" s="36"/>
      <c r="AY80" s="36"/>
      <c r="AZ80" s="36"/>
      <c r="BA80" s="36"/>
      <c r="BB80" s="36"/>
      <c r="BC80" s="41"/>
      <c r="BD80" s="36"/>
      <c r="BE80" s="36"/>
      <c r="BF80" s="36"/>
      <c r="BG80" s="36"/>
      <c r="BH80" s="36"/>
      <c r="BI80" s="36"/>
      <c r="BJ80" s="36"/>
      <c r="BK80" s="36"/>
      <c r="BL80" s="22"/>
      <c r="BM80" s="80"/>
      <c r="BN80" s="22"/>
      <c r="BO80" s="22"/>
      <c r="BP80" s="22"/>
      <c r="BQ80" s="22"/>
      <c r="BR80" s="22"/>
      <c r="BS80" s="22"/>
      <c r="BT80" s="22"/>
      <c r="BU80" s="22"/>
      <c r="BV80" s="56"/>
      <c r="BW80" s="36"/>
      <c r="CP80" s="8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1"/>
    </row>
    <row r="81" spans="3:111" ht="15.75" customHeight="1">
      <c r="C81" s="5"/>
      <c r="D81" s="5"/>
      <c r="E81" s="5"/>
      <c r="F81" s="5"/>
      <c r="G81" s="5"/>
      <c r="H81" s="5"/>
      <c r="I81" s="5"/>
      <c r="J81" s="5"/>
      <c r="O81" s="5"/>
      <c r="P81" s="57"/>
      <c r="Q81" s="48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7"/>
      <c r="AF81" s="97"/>
      <c r="AG81" s="93"/>
      <c r="AH81" s="93"/>
      <c r="AI81" s="93"/>
      <c r="AJ81" s="93"/>
      <c r="AK81" s="93"/>
      <c r="AL81" s="93"/>
      <c r="AM81" s="93"/>
      <c r="AN81" s="93"/>
      <c r="AO81" s="97"/>
      <c r="AP81" s="36"/>
      <c r="AQ81" s="36"/>
      <c r="AR81" s="36"/>
      <c r="AS81" s="36"/>
      <c r="AT81" s="36"/>
      <c r="AU81" s="36"/>
      <c r="AV81" s="22" t="str">
        <f ca="1">IF($AX$61=Dades!$F$5,"riu Segre","")</f>
        <v/>
      </c>
      <c r="AW81" s="36"/>
      <c r="AX81" s="36"/>
      <c r="AY81" s="36"/>
      <c r="AZ81" s="36"/>
      <c r="BA81" s="36"/>
      <c r="BB81" s="36"/>
      <c r="BC81" s="22"/>
      <c r="BD81" s="41"/>
      <c r="BE81" s="36"/>
      <c r="BF81" s="80"/>
      <c r="BG81" s="36"/>
      <c r="BH81" s="36"/>
      <c r="BI81" s="36"/>
      <c r="BJ81" s="36"/>
      <c r="BK81" s="36"/>
      <c r="BL81" s="22"/>
      <c r="BM81" s="22"/>
      <c r="BN81" s="80"/>
      <c r="BO81" s="22"/>
      <c r="BP81" s="22"/>
      <c r="BQ81" s="22"/>
      <c r="BR81" s="22"/>
      <c r="BS81" s="22"/>
      <c r="BT81" s="22"/>
      <c r="BU81" s="22"/>
      <c r="BV81" s="22"/>
      <c r="BW81" s="36"/>
      <c r="CP81" s="8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1"/>
    </row>
    <row r="82" spans="3:111" ht="15.75" customHeight="1">
      <c r="C82" s="5"/>
      <c r="D82" s="5"/>
      <c r="E82" s="5"/>
      <c r="F82" s="5"/>
      <c r="G82" s="5"/>
      <c r="H82" s="5"/>
      <c r="I82" s="5"/>
      <c r="J82" s="5"/>
      <c r="Q82" s="12"/>
      <c r="R82" s="12"/>
      <c r="S82" s="12"/>
      <c r="T82" s="12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2"/>
      <c r="AI82" s="32"/>
      <c r="AJ82" s="32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80"/>
      <c r="BD82" s="36"/>
      <c r="BE82" s="36"/>
      <c r="BF82" s="82"/>
      <c r="BG82" s="36"/>
      <c r="BH82" s="36"/>
      <c r="BI82" s="36"/>
      <c r="BJ82" s="36"/>
      <c r="BK82" s="36"/>
      <c r="BL82" s="22"/>
      <c r="BM82" s="22"/>
      <c r="BN82" s="22"/>
      <c r="BO82" s="22"/>
      <c r="BP82" s="80"/>
      <c r="BQ82" s="22"/>
      <c r="BR82" s="22"/>
      <c r="BS82" s="22"/>
      <c r="BT82" s="22"/>
      <c r="BU82" s="41"/>
      <c r="BV82" s="36"/>
      <c r="BW82" s="36"/>
      <c r="CP82" s="8"/>
      <c r="CQ82" s="2"/>
      <c r="CR82" s="2"/>
      <c r="CS82" s="2"/>
      <c r="CT82" s="2"/>
      <c r="CU82" s="7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1"/>
    </row>
    <row r="83" spans="3:111" ht="15.75" customHeight="1">
      <c r="C83" s="5"/>
      <c r="D83" s="5"/>
      <c r="E83" s="5"/>
      <c r="F83" s="5"/>
      <c r="G83" s="5"/>
      <c r="H83" s="5"/>
      <c r="I83" s="5"/>
      <c r="J83" s="5"/>
      <c r="M83" s="5"/>
      <c r="N83" s="5"/>
      <c r="O83" s="5"/>
      <c r="P83" s="5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80"/>
      <c r="BE83" s="36"/>
      <c r="BF83" s="83"/>
      <c r="BG83" s="36"/>
      <c r="BH83" s="36"/>
      <c r="BI83" s="36"/>
      <c r="BJ83" s="36"/>
      <c r="BK83" s="36"/>
      <c r="BL83" s="80"/>
      <c r="BM83" s="22"/>
      <c r="BN83" s="22"/>
      <c r="BO83" s="22"/>
      <c r="BP83" s="22"/>
      <c r="BQ83" s="22"/>
      <c r="BR83" s="22"/>
      <c r="BS83" s="22"/>
      <c r="BT83" s="22"/>
      <c r="BU83" s="36"/>
      <c r="BV83" s="32"/>
      <c r="BW83" s="36"/>
      <c r="CP83" s="8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1"/>
    </row>
    <row r="84" spans="3:111" ht="15.75" customHeight="1">
      <c r="C84" s="5"/>
      <c r="D84" s="5"/>
      <c r="E84" s="5"/>
      <c r="F84" s="5"/>
      <c r="G84" s="5"/>
      <c r="H84" s="5"/>
      <c r="I84" s="5"/>
      <c r="J84" s="5"/>
      <c r="M84" s="5"/>
      <c r="N84" s="5"/>
      <c r="O84" s="5"/>
      <c r="P84" s="5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41" t="str">
        <f>IF($AK$90=Dades!$F$25,"Riu Segre","")</f>
        <v/>
      </c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80"/>
      <c r="BG84" s="36"/>
      <c r="BH84" s="36"/>
      <c r="BI84" s="36"/>
      <c r="BJ84" s="36"/>
      <c r="BK84" s="36"/>
      <c r="BL84" s="22"/>
      <c r="BM84" s="22"/>
      <c r="BN84" s="22"/>
      <c r="BO84" s="22"/>
      <c r="BP84" s="22"/>
      <c r="BQ84" s="22"/>
      <c r="BR84" s="22"/>
      <c r="BS84" s="22"/>
      <c r="BT84" s="22"/>
      <c r="BU84" s="36"/>
      <c r="BV84" s="36"/>
      <c r="BW84" s="32"/>
      <c r="CP84" s="8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1"/>
    </row>
    <row r="85" spans="3:111" ht="15.75" customHeight="1">
      <c r="C85" s="5"/>
      <c r="D85" s="5"/>
      <c r="E85" s="5"/>
      <c r="F85" s="5"/>
      <c r="G85" s="5"/>
      <c r="H85" s="5"/>
      <c r="I85" s="5"/>
      <c r="J85" s="5"/>
      <c r="M85" s="5"/>
      <c r="N85" s="5"/>
      <c r="O85" s="5"/>
      <c r="P85" s="5"/>
      <c r="Q85" s="36"/>
      <c r="R85" s="36"/>
      <c r="S85" s="36"/>
      <c r="T85" s="36"/>
      <c r="U85" s="36"/>
      <c r="V85" s="36"/>
      <c r="W85" s="41"/>
      <c r="X85" s="41"/>
      <c r="Y85" s="41"/>
      <c r="Z85" s="41"/>
      <c r="AA85" s="41" t="str">
        <f>IF($AK$90=Dades!$F$25,"Riu Noguera Ribagorçana","")</f>
        <v/>
      </c>
      <c r="AB85" s="41"/>
      <c r="AC85" s="77"/>
      <c r="AD85" s="77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77"/>
      <c r="AQ85" s="36"/>
      <c r="AR85" s="41"/>
      <c r="AS85" s="36"/>
      <c r="AT85" s="36"/>
      <c r="AU85" s="36"/>
      <c r="AV85" s="36"/>
      <c r="AW85" s="36"/>
      <c r="AX85" s="36"/>
      <c r="AY85" s="36"/>
      <c r="AZ85" s="36"/>
      <c r="BA85" s="36"/>
      <c r="BB85" s="80"/>
      <c r="BC85" s="36"/>
      <c r="BD85" s="36"/>
      <c r="BE85" s="36"/>
      <c r="BF85" s="36"/>
      <c r="BG85" s="36"/>
      <c r="BH85" s="36"/>
      <c r="BI85" s="36"/>
      <c r="BJ85" s="36"/>
      <c r="BK85" s="36"/>
      <c r="BL85" s="22"/>
      <c r="BM85" s="22"/>
      <c r="BN85" s="22"/>
      <c r="BO85" s="22"/>
      <c r="BP85" s="22"/>
      <c r="BQ85" s="22"/>
      <c r="BR85" s="22"/>
      <c r="BS85" s="80"/>
      <c r="BT85" s="22"/>
      <c r="BU85" s="36"/>
      <c r="BV85" s="36"/>
      <c r="BW85" s="36"/>
      <c r="CP85" s="8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1"/>
    </row>
    <row r="86" spans="3:111" ht="15.75" customHeight="1">
      <c r="C86" s="5"/>
      <c r="D86" s="5"/>
      <c r="E86" s="5"/>
      <c r="F86" s="5"/>
      <c r="G86" s="5"/>
      <c r="H86" s="5"/>
      <c r="I86" s="5"/>
      <c r="J86" s="5"/>
      <c r="M86" s="5"/>
      <c r="N86" s="5"/>
      <c r="O86" s="5"/>
      <c r="P86" s="5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77"/>
      <c r="AF86" s="77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77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2"/>
      <c r="BL86" s="22"/>
      <c r="BM86" s="22"/>
      <c r="BN86" s="22"/>
      <c r="BO86" s="22"/>
      <c r="BP86" s="22"/>
      <c r="BQ86" s="22"/>
      <c r="BR86" s="22"/>
      <c r="BS86" s="80"/>
      <c r="BT86" s="80"/>
      <c r="BU86" s="36"/>
      <c r="BV86" s="36"/>
      <c r="BW86" s="36"/>
      <c r="CP86" s="8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1"/>
    </row>
    <row r="87" spans="3:111" ht="15.75" customHeight="1">
      <c r="C87" s="5"/>
      <c r="D87" s="5"/>
      <c r="E87" s="5"/>
      <c r="F87" s="5"/>
      <c r="G87" s="5"/>
      <c r="H87" s="5"/>
      <c r="I87" s="5"/>
      <c r="J87" s="5"/>
      <c r="M87" s="5"/>
      <c r="N87" s="5"/>
      <c r="O87" s="5"/>
      <c r="P87" s="5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78"/>
      <c r="AH87" s="36"/>
      <c r="AI87" s="36"/>
      <c r="AJ87" s="36"/>
      <c r="AK87" s="36"/>
      <c r="AL87" s="36"/>
      <c r="AM87" s="36"/>
      <c r="AN87" s="36"/>
      <c r="AO87" s="36"/>
      <c r="AP87" s="36"/>
      <c r="AQ87" s="77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22"/>
      <c r="BM87" s="22"/>
      <c r="BN87" s="22"/>
      <c r="BO87" s="22"/>
      <c r="BP87" s="22"/>
      <c r="BQ87" s="22"/>
      <c r="BR87" s="22"/>
      <c r="BS87" s="22"/>
      <c r="CP87" s="8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1"/>
    </row>
    <row r="88" spans="3:111" ht="15.75" customHeight="1">
      <c r="C88" s="5"/>
      <c r="D88" s="5"/>
      <c r="E88" s="5"/>
      <c r="F88" s="5"/>
      <c r="G88" s="5"/>
      <c r="H88" s="5"/>
      <c r="I88" s="5"/>
      <c r="J88" s="5"/>
      <c r="M88" s="5"/>
      <c r="N88" s="5"/>
      <c r="O88" s="5"/>
      <c r="P88" s="5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22"/>
      <c r="AQ88" s="36"/>
      <c r="AR88" s="36"/>
      <c r="AS88" s="36"/>
      <c r="AT88" s="77"/>
      <c r="AU88" s="36"/>
      <c r="AV88" s="36"/>
      <c r="AW88" s="36"/>
      <c r="AX88" s="36"/>
      <c r="AY88" s="36"/>
      <c r="AZ88" s="36"/>
      <c r="BA88" s="36"/>
      <c r="BB88" s="32"/>
      <c r="BC88" s="36"/>
      <c r="BD88" s="36"/>
      <c r="BE88" s="36"/>
      <c r="BF88" s="36"/>
      <c r="BG88" s="36"/>
      <c r="BH88" s="36"/>
      <c r="BI88" s="36"/>
      <c r="BJ88" s="36"/>
      <c r="BK88" s="36"/>
      <c r="BL88" s="22"/>
      <c r="BM88" s="22"/>
      <c r="BN88" s="22"/>
      <c r="BO88" s="81"/>
      <c r="BP88" s="22"/>
      <c r="BQ88" s="22"/>
      <c r="BR88" s="22"/>
      <c r="BS88" s="22"/>
      <c r="CP88" s="8"/>
      <c r="CQ88" s="2"/>
      <c r="CR88" s="2"/>
      <c r="CS88" s="8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1"/>
    </row>
    <row r="89" spans="3:111" ht="15.75" customHeight="1">
      <c r="C89" s="5"/>
      <c r="D89" s="5"/>
      <c r="E89" s="5"/>
      <c r="F89" s="5"/>
      <c r="G89" s="5"/>
      <c r="H89" s="5"/>
      <c r="I89" s="5"/>
      <c r="J89" s="5"/>
      <c r="M89" s="5"/>
      <c r="N89" s="5"/>
      <c r="O89" s="5"/>
      <c r="P89" s="5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77"/>
      <c r="AD89" s="77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77"/>
      <c r="AS89" s="36"/>
      <c r="AT89" s="36"/>
      <c r="AU89" s="36"/>
      <c r="AV89" s="36"/>
      <c r="AW89" s="36"/>
      <c r="AX89" s="36"/>
      <c r="AY89" s="36"/>
      <c r="AZ89" s="36"/>
      <c r="BA89" s="32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22"/>
      <c r="BM89" s="80"/>
      <c r="BN89" s="22"/>
      <c r="BO89" s="22"/>
      <c r="BP89" s="22"/>
      <c r="BQ89" s="22"/>
      <c r="BR89" s="22"/>
      <c r="BS89" s="80"/>
      <c r="CP89" s="8"/>
      <c r="CQ89" s="2"/>
      <c r="CR89" s="2"/>
      <c r="CS89" s="6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1"/>
    </row>
    <row r="90" spans="3:111" ht="15.75" customHeight="1">
      <c r="C90" s="5"/>
      <c r="D90" s="5"/>
      <c r="E90" s="5"/>
      <c r="F90" s="5"/>
      <c r="G90" s="5"/>
      <c r="H90" s="5"/>
      <c r="I90" s="5"/>
      <c r="J90" s="5"/>
      <c r="M90" s="5"/>
      <c r="N90" s="5"/>
      <c r="O90" s="5"/>
      <c r="P90" s="5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85"/>
      <c r="AL90" s="81"/>
      <c r="AM90" s="36"/>
      <c r="AN90" s="36"/>
      <c r="AO90" s="36"/>
      <c r="AP90" s="36"/>
      <c r="AQ90" s="36"/>
      <c r="AR90" s="36"/>
      <c r="AS90" s="36"/>
      <c r="AT90" s="36"/>
      <c r="AU90" s="36"/>
      <c r="AV90" s="77"/>
      <c r="AW90" s="36"/>
      <c r="AX90" s="36"/>
      <c r="AY90" s="36"/>
      <c r="AZ90" s="36"/>
      <c r="BA90" s="32"/>
      <c r="BB90" s="36"/>
      <c r="BC90" s="36"/>
      <c r="BD90" s="36"/>
      <c r="BE90" s="36"/>
      <c r="BF90" s="36"/>
      <c r="BG90" s="36"/>
      <c r="BH90" s="84"/>
      <c r="BI90" s="36"/>
      <c r="BJ90" s="36"/>
      <c r="BK90" s="36"/>
      <c r="BL90" s="22"/>
      <c r="BM90" s="22"/>
      <c r="BN90" s="22"/>
      <c r="BO90" s="22"/>
      <c r="BP90" s="22"/>
      <c r="BQ90" s="80"/>
      <c r="BR90" s="22"/>
      <c r="BS90" s="22"/>
      <c r="BT90" s="8"/>
      <c r="BU90" s="8"/>
      <c r="BV90" s="8"/>
      <c r="BW90" s="8"/>
      <c r="CP90" s="8"/>
      <c r="CQ90" s="2"/>
      <c r="CR90" s="2"/>
      <c r="CS90" s="7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1"/>
    </row>
    <row r="91" spans="3:111" ht="15.75" customHeight="1">
      <c r="C91" s="5"/>
      <c r="D91" s="5"/>
      <c r="E91" s="5"/>
      <c r="F91" s="5"/>
      <c r="G91" s="5"/>
      <c r="H91" s="5"/>
      <c r="I91" s="5"/>
      <c r="J91" s="5"/>
      <c r="M91" s="5"/>
      <c r="N91" s="5"/>
      <c r="O91" s="5"/>
      <c r="P91" s="5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77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2"/>
      <c r="BC91" s="36"/>
      <c r="BD91" s="36"/>
      <c r="BE91" s="36"/>
      <c r="BF91" s="36"/>
      <c r="BG91" s="36"/>
      <c r="BH91" s="22"/>
      <c r="BI91" s="36"/>
      <c r="BJ91" s="84"/>
      <c r="BK91" s="36"/>
      <c r="BL91" s="22"/>
      <c r="BM91" s="80"/>
      <c r="BN91" s="22"/>
      <c r="BO91" s="22"/>
      <c r="BP91" s="22"/>
      <c r="BQ91" s="22"/>
      <c r="BR91" s="22"/>
      <c r="BS91" s="22"/>
      <c r="BT91" s="8"/>
      <c r="BU91" s="8"/>
      <c r="BV91" s="8"/>
      <c r="BW91" s="8"/>
      <c r="CP91" s="8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1"/>
    </row>
    <row r="92" spans="3:111" ht="15.75" customHeight="1">
      <c r="C92" s="5"/>
      <c r="D92" s="5"/>
      <c r="E92" s="5"/>
      <c r="F92" s="5"/>
      <c r="G92" s="5"/>
      <c r="H92" s="5"/>
      <c r="I92" s="5"/>
      <c r="J92" s="5"/>
      <c r="M92" s="5"/>
      <c r="N92" s="5"/>
      <c r="O92" s="5"/>
      <c r="P92" s="5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77"/>
      <c r="AF92" s="77"/>
      <c r="AG92" s="36"/>
      <c r="AH92" s="36"/>
      <c r="AI92" s="36"/>
      <c r="AJ92" s="36"/>
      <c r="AK92" s="36"/>
      <c r="AL92" s="36"/>
      <c r="AM92" s="36"/>
      <c r="AN92" s="36"/>
      <c r="AO92" s="77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2"/>
      <c r="BB92" s="24"/>
      <c r="BC92" s="36"/>
      <c r="BD92" s="36"/>
      <c r="BE92" s="36"/>
      <c r="BF92" s="36"/>
      <c r="BG92" s="36"/>
      <c r="BH92" s="36"/>
      <c r="BI92" s="36"/>
      <c r="BJ92" s="36"/>
      <c r="BK92" s="36"/>
      <c r="BL92" s="22"/>
      <c r="BM92" s="22"/>
      <c r="BN92" s="22"/>
      <c r="BO92" s="80"/>
      <c r="BP92" s="22"/>
      <c r="BQ92" s="22"/>
      <c r="BR92" s="22"/>
      <c r="BS92" s="22"/>
      <c r="BT92" s="8"/>
      <c r="BU92" s="8"/>
      <c r="BV92" s="8"/>
      <c r="BW92" s="8"/>
      <c r="CP92" s="8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1"/>
    </row>
    <row r="93" spans="3:111" ht="15.75" customHeight="1">
      <c r="C93" s="5"/>
      <c r="D93" s="5"/>
      <c r="E93" s="5"/>
      <c r="F93" s="5"/>
      <c r="G93" s="5"/>
      <c r="H93" s="5"/>
      <c r="I93" s="5"/>
      <c r="J93" s="5"/>
      <c r="M93" s="5"/>
      <c r="N93" s="5"/>
      <c r="O93" s="5"/>
      <c r="P93" s="5"/>
      <c r="Q93" s="36"/>
      <c r="R93" s="36"/>
      <c r="S93" s="36"/>
      <c r="T93" s="36"/>
      <c r="U93" s="36"/>
      <c r="V93" s="36"/>
      <c r="W93" s="41" t="str">
        <f>IF($AK$90=Dades!$F$25,"És la comarca més gran de Catalunya!!!","")</f>
        <v/>
      </c>
      <c r="X93" s="41"/>
      <c r="Y93" s="41"/>
      <c r="Z93" s="41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77"/>
      <c r="AL93" s="77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2"/>
      <c r="BD93" s="32"/>
      <c r="BE93" s="36"/>
      <c r="BF93" s="36"/>
      <c r="BG93" s="36"/>
      <c r="BH93" s="36"/>
      <c r="BI93" s="36"/>
      <c r="BJ93" s="78"/>
      <c r="BK93" s="36"/>
      <c r="BL93" s="22"/>
      <c r="BM93" s="22"/>
      <c r="BN93" s="22"/>
      <c r="BO93" s="22"/>
      <c r="BP93" s="22"/>
      <c r="BQ93" s="86"/>
      <c r="BR93" s="76"/>
      <c r="BS93" s="22"/>
      <c r="BT93" s="8"/>
      <c r="BU93" s="8"/>
      <c r="BV93" s="8"/>
      <c r="BW93" s="8"/>
      <c r="CP93" s="8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1"/>
    </row>
    <row r="94" spans="3:111" ht="15.75" customHeight="1">
      <c r="C94" s="5"/>
      <c r="D94" s="5"/>
      <c r="E94" s="5"/>
      <c r="F94" s="5"/>
      <c r="G94" s="5"/>
      <c r="H94" s="5"/>
      <c r="I94" s="5"/>
      <c r="J94" s="5"/>
      <c r="M94" s="5"/>
      <c r="N94" s="5"/>
      <c r="O94" s="5"/>
      <c r="P94" s="5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77"/>
      <c r="AF94" s="77"/>
      <c r="AG94" s="36"/>
      <c r="AH94" s="36"/>
      <c r="AI94" s="36"/>
      <c r="AJ94" s="36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80"/>
      <c r="AW94" s="22"/>
      <c r="AX94" s="22"/>
      <c r="AY94" s="22"/>
      <c r="AZ94" s="22"/>
      <c r="BA94" s="22"/>
      <c r="BB94" s="22"/>
      <c r="BC94" s="80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8"/>
      <c r="BU94" s="8"/>
      <c r="BV94" s="8"/>
      <c r="BW94" s="8"/>
      <c r="CP94" s="8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1"/>
    </row>
    <row r="95" spans="3:111" ht="15.75" customHeight="1">
      <c r="C95" s="5"/>
      <c r="D95" s="5"/>
      <c r="E95" s="5"/>
      <c r="F95" s="5"/>
      <c r="G95" s="5"/>
      <c r="H95" s="5"/>
      <c r="I95" s="5"/>
      <c r="J95" s="5"/>
      <c r="M95" s="5"/>
      <c r="N95" s="5"/>
      <c r="O95" s="5"/>
      <c r="P95" s="5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77"/>
      <c r="AI95" s="77"/>
      <c r="AJ95" s="77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80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81"/>
      <c r="BK95" s="22"/>
      <c r="BL95" s="22"/>
      <c r="BM95" s="22"/>
      <c r="BN95" s="22"/>
      <c r="BO95" s="22"/>
      <c r="BP95" s="22"/>
      <c r="BQ95" s="22"/>
      <c r="BR95" s="22"/>
      <c r="BS95" s="80"/>
      <c r="BT95" s="8"/>
      <c r="BU95" s="8"/>
      <c r="BV95" s="8"/>
      <c r="BW95" s="8"/>
      <c r="CP95" s="8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1"/>
    </row>
    <row r="96" spans="3:111" ht="15.75" customHeight="1">
      <c r="C96" s="5"/>
      <c r="D96" s="5"/>
      <c r="E96" s="5"/>
      <c r="F96" s="5"/>
      <c r="G96" s="5"/>
      <c r="H96" s="5"/>
      <c r="I96" s="5"/>
      <c r="J96" s="5"/>
      <c r="M96" s="5"/>
      <c r="N96" s="5"/>
      <c r="O96" s="5"/>
      <c r="P96" s="5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22"/>
      <c r="AL96" s="22"/>
      <c r="AM96" s="22"/>
      <c r="AN96" s="22"/>
      <c r="AO96" s="22"/>
      <c r="AP96" s="22"/>
      <c r="AQ96" s="22"/>
      <c r="AR96" s="22"/>
      <c r="AS96" s="80"/>
      <c r="AT96" s="22"/>
      <c r="AU96" s="22"/>
      <c r="AV96" s="22"/>
      <c r="AW96" s="80"/>
      <c r="AX96" s="22"/>
      <c r="AY96" s="22"/>
      <c r="AZ96" s="22"/>
      <c r="BA96" s="22"/>
      <c r="BB96" s="22"/>
      <c r="BC96" s="78"/>
      <c r="BD96" s="22"/>
      <c r="BE96" s="22"/>
      <c r="BF96" s="22"/>
      <c r="BG96" s="22"/>
      <c r="BH96" s="87"/>
      <c r="BI96" s="86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8"/>
      <c r="BU96" s="8"/>
      <c r="BV96" s="8"/>
      <c r="BW96" s="8"/>
      <c r="CP96" s="8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1"/>
    </row>
    <row r="97" spans="3:111" ht="15.75" customHeight="1">
      <c r="C97" s="5"/>
      <c r="D97" s="5"/>
      <c r="E97" s="5"/>
      <c r="F97" s="5"/>
      <c r="G97" s="5"/>
      <c r="H97" s="5"/>
      <c r="I97" s="5"/>
      <c r="J97" s="5"/>
      <c r="M97" s="5"/>
      <c r="N97" s="5"/>
      <c r="O97" s="5"/>
      <c r="P97" s="5"/>
      <c r="Q97" s="36"/>
      <c r="R97" s="36"/>
      <c r="S97" s="36"/>
      <c r="T97" s="36"/>
      <c r="U97" s="32"/>
      <c r="V97" s="32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22"/>
      <c r="AL97" s="22"/>
      <c r="AM97" s="22"/>
      <c r="AN97" s="22"/>
      <c r="AO97" s="22"/>
      <c r="AP97" s="22"/>
      <c r="AQ97" s="78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87"/>
      <c r="BJ97" s="22"/>
      <c r="BK97" s="22"/>
      <c r="BL97" s="22"/>
      <c r="BM97" s="22"/>
      <c r="BN97" s="86"/>
      <c r="BO97" s="87"/>
      <c r="BP97" s="22"/>
      <c r="BQ97" s="22"/>
      <c r="BR97" s="22"/>
      <c r="BS97" s="22"/>
      <c r="BT97" s="8"/>
      <c r="BU97" s="8"/>
      <c r="BV97" s="8"/>
      <c r="BW97" s="8"/>
      <c r="CP97" s="8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1"/>
    </row>
    <row r="98" spans="3:111" ht="15.75" customHeight="1">
      <c r="C98" s="5"/>
      <c r="D98" s="5"/>
      <c r="E98" s="5"/>
      <c r="F98" s="5"/>
      <c r="G98" s="5"/>
      <c r="H98" s="5"/>
      <c r="I98" s="5"/>
      <c r="J98" s="5"/>
      <c r="M98" s="5"/>
      <c r="N98" s="5"/>
      <c r="O98" s="5"/>
      <c r="P98" s="5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2"/>
      <c r="AB98" s="32"/>
      <c r="AC98" s="36"/>
      <c r="AD98" s="36"/>
      <c r="AE98" s="36"/>
      <c r="AF98" s="36"/>
      <c r="AG98" s="36"/>
      <c r="AH98" s="36"/>
      <c r="AI98" s="36"/>
      <c r="AJ98" s="36"/>
      <c r="AK98" s="22"/>
      <c r="AL98" s="22"/>
      <c r="AM98" s="22"/>
      <c r="AN98" s="22"/>
      <c r="AO98" s="22"/>
      <c r="AP98" s="41"/>
      <c r="AQ98" s="22"/>
      <c r="AR98" s="22"/>
      <c r="AS98" s="22"/>
      <c r="AT98" s="22"/>
      <c r="AU98" s="22"/>
      <c r="AV98" s="22"/>
      <c r="AW98" s="80"/>
      <c r="AX98" s="22"/>
      <c r="AY98" s="22"/>
      <c r="AZ98" s="22"/>
      <c r="BA98" s="22"/>
      <c r="BB98" s="22"/>
      <c r="BC98" s="56"/>
      <c r="BD98" s="22"/>
      <c r="BE98" s="22"/>
      <c r="BF98" s="22"/>
      <c r="BG98" s="22"/>
      <c r="BH98" s="22"/>
      <c r="BI98" s="22"/>
      <c r="BJ98" s="22"/>
      <c r="BK98" s="22"/>
      <c r="BL98" s="22"/>
      <c r="BM98" s="87"/>
      <c r="BN98" s="22"/>
      <c r="BO98" s="22"/>
      <c r="BP98" s="22"/>
      <c r="BQ98" s="22"/>
      <c r="BR98" s="22"/>
      <c r="BS98" s="22"/>
      <c r="BT98" s="8"/>
      <c r="BU98" s="8"/>
      <c r="BV98" s="8"/>
      <c r="BW98" s="8"/>
      <c r="CP98" s="8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1"/>
    </row>
    <row r="99" spans="3:111" ht="15.75" customHeight="1">
      <c r="C99" s="5"/>
      <c r="D99" s="5"/>
      <c r="E99" s="5"/>
      <c r="F99" s="5"/>
      <c r="G99" s="5"/>
      <c r="H99" s="5"/>
      <c r="I99" s="5"/>
      <c r="J99" s="5"/>
      <c r="M99" s="5"/>
      <c r="N99" s="5"/>
      <c r="O99" s="5"/>
      <c r="P99" s="5"/>
      <c r="Q99" s="36"/>
      <c r="R99" s="36"/>
      <c r="S99" s="32"/>
      <c r="T99" s="32"/>
      <c r="U99" s="22"/>
      <c r="V99" s="22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22"/>
      <c r="AL99" s="22"/>
      <c r="AM99" s="22"/>
      <c r="AN99" s="22"/>
      <c r="AO99" s="22"/>
      <c r="AP99" s="22"/>
      <c r="AQ99" s="22"/>
      <c r="AR99" s="56"/>
      <c r="AS99" s="22"/>
      <c r="AT99" s="22"/>
      <c r="AU99" s="22"/>
      <c r="AV99" s="80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87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8"/>
      <c r="BU99" s="8"/>
      <c r="BV99" s="8"/>
      <c r="BW99" s="8"/>
      <c r="CP99" s="8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1"/>
    </row>
    <row r="100" spans="3:111" ht="15.75" customHeight="1">
      <c r="C100" s="5"/>
      <c r="D100" s="5"/>
      <c r="E100" s="5"/>
      <c r="F100" s="5"/>
      <c r="G100" s="5"/>
      <c r="H100" s="5"/>
      <c r="I100" s="5"/>
      <c r="J100" s="5"/>
      <c r="M100" s="5"/>
      <c r="N100" s="5"/>
      <c r="O100" s="5"/>
      <c r="P100" s="5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2"/>
      <c r="AD100" s="32"/>
      <c r="AE100" s="36"/>
      <c r="AF100" s="36"/>
      <c r="AG100" s="36"/>
      <c r="AH100" s="36"/>
      <c r="AI100" s="36"/>
      <c r="AJ100" s="36"/>
      <c r="AK100" s="22"/>
      <c r="AL100" s="22"/>
      <c r="AM100" s="22"/>
      <c r="AN100" s="22"/>
      <c r="AO100" s="80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41"/>
      <c r="BL100" s="22"/>
      <c r="BM100" s="80"/>
      <c r="BN100" s="22"/>
      <c r="BO100" s="22"/>
      <c r="BP100" s="22"/>
      <c r="BQ100" s="80"/>
      <c r="BR100" s="22"/>
      <c r="BS100" s="22"/>
      <c r="BT100" s="8"/>
      <c r="BU100" s="8"/>
      <c r="BV100" s="8"/>
      <c r="BW100" s="8"/>
      <c r="CP100" s="8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1"/>
    </row>
    <row r="101" spans="3:111" ht="15.75" customHeight="1">
      <c r="C101" s="5"/>
      <c r="D101" s="5"/>
      <c r="E101" s="5"/>
      <c r="F101" s="5"/>
      <c r="G101" s="5"/>
      <c r="H101" s="5"/>
      <c r="I101" s="5"/>
      <c r="J101" s="5"/>
      <c r="M101" s="5"/>
      <c r="N101" s="5"/>
      <c r="O101" s="5"/>
      <c r="P101" s="5"/>
      <c r="Q101" s="36"/>
      <c r="R101" s="36"/>
      <c r="S101" s="36"/>
      <c r="T101" s="36"/>
      <c r="U101" s="22"/>
      <c r="V101" s="22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22"/>
      <c r="AL101" s="22"/>
      <c r="AM101" s="22"/>
      <c r="AN101" s="22"/>
      <c r="AO101" s="22"/>
      <c r="AP101" s="22"/>
      <c r="AQ101" s="80"/>
      <c r="AR101" s="22"/>
      <c r="AS101" s="22"/>
      <c r="AT101" s="22"/>
      <c r="AU101" s="22"/>
      <c r="AV101" s="22"/>
      <c r="AW101" s="80"/>
      <c r="AX101" s="22"/>
      <c r="AY101" s="22"/>
      <c r="AZ101" s="22"/>
      <c r="BA101" s="22"/>
      <c r="BB101" s="22"/>
      <c r="BC101" s="80"/>
      <c r="BD101" s="22"/>
      <c r="BE101" s="22"/>
      <c r="BF101" s="22"/>
      <c r="BG101" s="22"/>
      <c r="BH101" s="22"/>
      <c r="BI101" s="22"/>
      <c r="BJ101" s="22"/>
      <c r="BK101" s="41"/>
      <c r="BL101" s="80"/>
      <c r="BM101" s="22"/>
      <c r="BN101" s="22"/>
      <c r="BO101" s="22"/>
      <c r="BP101" s="22"/>
      <c r="BQ101" s="22"/>
      <c r="BR101" s="22"/>
      <c r="BS101" s="22"/>
      <c r="BT101" s="8"/>
      <c r="BU101" s="8"/>
      <c r="BV101" s="8"/>
      <c r="BW101" s="8"/>
      <c r="CP101" s="8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1"/>
    </row>
    <row r="102" spans="3:111" ht="15.75" customHeight="1">
      <c r="C102" s="5"/>
      <c r="D102" s="5"/>
      <c r="E102" s="5"/>
      <c r="F102" s="5"/>
      <c r="G102" s="5"/>
      <c r="H102" s="5"/>
      <c r="I102" s="5"/>
      <c r="J102" s="5"/>
      <c r="M102" s="5"/>
      <c r="N102" s="5"/>
      <c r="O102" s="5"/>
      <c r="P102" s="5"/>
      <c r="Q102" s="32"/>
      <c r="R102" s="32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2"/>
      <c r="AF102" s="32"/>
      <c r="AG102" s="36"/>
      <c r="AH102" s="36"/>
      <c r="AI102" s="36"/>
      <c r="AJ102" s="36"/>
      <c r="AK102" s="22"/>
      <c r="AL102" s="22"/>
      <c r="AM102" s="22"/>
      <c r="AN102" s="22"/>
      <c r="AO102" s="80"/>
      <c r="AP102" s="22"/>
      <c r="AQ102" s="22"/>
      <c r="AR102" s="22"/>
      <c r="AS102" s="22"/>
      <c r="AT102" s="22"/>
      <c r="AU102" s="22"/>
      <c r="AV102" s="22"/>
      <c r="AW102" s="56"/>
      <c r="AX102" s="22"/>
      <c r="AY102" s="22"/>
      <c r="AZ102" s="22"/>
      <c r="BA102" s="22"/>
      <c r="BB102" s="22"/>
      <c r="BC102" s="80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8"/>
      <c r="BU102" s="8"/>
      <c r="BV102" s="8"/>
      <c r="BW102" s="8"/>
      <c r="CP102" s="8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1"/>
    </row>
    <row r="103" spans="3:111" ht="15.75" customHeight="1">
      <c r="C103" s="5"/>
      <c r="D103" s="5"/>
      <c r="E103" s="5"/>
      <c r="F103" s="5"/>
      <c r="G103" s="5"/>
      <c r="H103" s="5"/>
      <c r="I103" s="5"/>
      <c r="J103" s="5"/>
      <c r="M103" s="5"/>
      <c r="N103" s="5"/>
      <c r="O103" s="5"/>
      <c r="P103" s="5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2"/>
      <c r="AB103" s="32"/>
      <c r="AC103" s="36"/>
      <c r="AD103" s="36"/>
      <c r="AE103" s="36"/>
      <c r="AF103" s="36"/>
      <c r="AG103" s="36"/>
      <c r="AH103" s="36"/>
      <c r="AI103" s="36"/>
      <c r="AJ103" s="36"/>
      <c r="AK103" s="22"/>
      <c r="AL103" s="22"/>
      <c r="AM103" s="22"/>
      <c r="AN103" s="22"/>
      <c r="AO103" s="22"/>
      <c r="AP103" s="80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80"/>
      <c r="BM103" s="22"/>
      <c r="BN103" s="56"/>
      <c r="BO103" s="22"/>
      <c r="BP103" s="22"/>
      <c r="BQ103" s="22"/>
      <c r="BR103" s="22"/>
      <c r="BS103" s="22"/>
      <c r="BT103" s="8"/>
      <c r="BU103" s="8"/>
      <c r="BV103" s="8"/>
      <c r="BW103" s="8"/>
      <c r="CP103" s="8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1"/>
    </row>
    <row r="104" spans="3:111" ht="15.75" customHeight="1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36"/>
      <c r="R104" s="36"/>
      <c r="S104" s="81"/>
      <c r="T104" s="81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80"/>
      <c r="AW104" s="22"/>
      <c r="AX104" s="22"/>
      <c r="AY104" s="22"/>
      <c r="AZ104" s="22"/>
      <c r="BA104" s="80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8"/>
      <c r="BU104" s="8"/>
      <c r="BV104" s="8"/>
      <c r="BW104" s="8"/>
      <c r="CP104" s="8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1"/>
    </row>
    <row r="105" spans="3:111" ht="15.75" customHeight="1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22"/>
      <c r="AL105" s="22"/>
      <c r="AM105" s="80"/>
      <c r="AN105" s="80"/>
      <c r="AO105" s="22"/>
      <c r="AP105" s="22"/>
      <c r="AQ105" s="22"/>
      <c r="AR105" s="22"/>
      <c r="AS105" s="22"/>
      <c r="AT105" s="22"/>
      <c r="AU105" s="22"/>
      <c r="AV105" s="80"/>
      <c r="AW105" s="22"/>
      <c r="AX105" s="22"/>
      <c r="AY105" s="22"/>
      <c r="AZ105" s="80"/>
      <c r="BA105" s="22"/>
      <c r="BB105" s="22"/>
      <c r="BC105" s="22"/>
      <c r="BD105" s="22"/>
      <c r="BE105" s="22"/>
      <c r="BF105" s="22"/>
      <c r="BG105" s="133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8"/>
      <c r="BU105" s="8"/>
      <c r="BV105" s="8"/>
      <c r="BW105" s="8"/>
      <c r="CP105" s="8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1"/>
    </row>
    <row r="106" spans="3:111" ht="15.75" customHeight="1">
      <c r="C106" s="5"/>
      <c r="D106" s="5"/>
      <c r="E106" s="5"/>
      <c r="F106" s="5"/>
      <c r="G106" s="5"/>
      <c r="H106" s="5"/>
      <c r="I106" s="5"/>
      <c r="J106" s="5"/>
      <c r="M106" s="5"/>
      <c r="N106" s="5"/>
      <c r="O106" s="5"/>
      <c r="P106" s="5"/>
      <c r="Q106" s="36"/>
      <c r="R106" s="36"/>
      <c r="S106" s="36"/>
      <c r="T106" s="36"/>
      <c r="U106" s="32"/>
      <c r="V106" s="32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133"/>
      <c r="BG106" s="41"/>
      <c r="BH106" s="22"/>
      <c r="BI106" s="22"/>
      <c r="BJ106" s="22"/>
      <c r="BK106" s="22"/>
      <c r="BL106" s="80"/>
      <c r="BM106" s="22"/>
      <c r="BN106" s="22"/>
      <c r="BO106" s="22"/>
      <c r="BP106" s="22"/>
      <c r="BQ106" s="22"/>
      <c r="BR106" s="22"/>
      <c r="BS106" s="22"/>
      <c r="BT106" s="8"/>
      <c r="BU106" s="8"/>
      <c r="BV106" s="8" t="s">
        <v>4</v>
      </c>
      <c r="BW106" s="8"/>
      <c r="CP106" s="8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1"/>
    </row>
    <row r="107" spans="3:111" ht="15.75" customHeight="1">
      <c r="C107" s="5"/>
      <c r="D107" s="5"/>
      <c r="E107" s="5"/>
      <c r="F107" s="5"/>
      <c r="G107" s="5"/>
      <c r="H107" s="5"/>
      <c r="I107" s="5"/>
      <c r="J107" s="5"/>
      <c r="M107" s="36"/>
      <c r="N107" s="36"/>
      <c r="O107" s="36"/>
      <c r="P107" s="36"/>
      <c r="Q107" s="41"/>
      <c r="R107" s="4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22"/>
      <c r="AL107" s="22"/>
      <c r="AM107" s="22"/>
      <c r="AN107" s="22"/>
      <c r="AO107" s="22"/>
      <c r="AP107" s="80"/>
      <c r="AQ107" s="22"/>
      <c r="AR107" s="22"/>
      <c r="AS107" s="22"/>
      <c r="AT107" s="22"/>
      <c r="AU107" s="22"/>
      <c r="AV107" s="22"/>
      <c r="AW107" s="78"/>
      <c r="AX107" s="80"/>
      <c r="AY107" s="22"/>
      <c r="AZ107" s="22"/>
      <c r="BA107" s="22"/>
      <c r="BB107" s="22"/>
      <c r="BC107" s="22"/>
      <c r="BD107" s="22"/>
      <c r="BE107" s="22"/>
      <c r="BF107" s="22"/>
      <c r="BG107" s="22"/>
      <c r="BH107" s="134"/>
      <c r="BI107" s="22"/>
      <c r="BJ107" s="22"/>
      <c r="BK107" s="80"/>
      <c r="BL107" s="22"/>
      <c r="BM107" s="22"/>
      <c r="BN107" s="22"/>
      <c r="BO107" s="22"/>
      <c r="BP107" s="80"/>
      <c r="BQ107" s="22"/>
      <c r="BR107" s="22"/>
      <c r="BS107" s="22"/>
      <c r="BT107" s="8"/>
      <c r="BU107" s="8"/>
      <c r="BV107" s="8"/>
      <c r="BW107" s="8"/>
      <c r="CP107" s="8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1"/>
    </row>
    <row r="108" spans="3:111" ht="15.75" customHeight="1">
      <c r="C108" s="5"/>
      <c r="D108" s="5"/>
      <c r="E108" s="5"/>
      <c r="F108" s="5"/>
      <c r="G108" s="5"/>
      <c r="H108" s="5"/>
      <c r="I108" s="5"/>
      <c r="J108" s="5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22"/>
      <c r="AL108" s="22"/>
      <c r="AM108" s="56"/>
      <c r="AN108" s="56"/>
      <c r="AO108" s="22"/>
      <c r="AP108" s="22"/>
      <c r="AQ108" s="22"/>
      <c r="AR108" s="22"/>
      <c r="AS108" s="22"/>
      <c r="AT108" s="22"/>
      <c r="AU108" s="22"/>
      <c r="AV108" s="22"/>
      <c r="AW108" s="76"/>
      <c r="AX108" s="76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8"/>
      <c r="BU108" s="8"/>
      <c r="BV108"/>
      <c r="BW108" s="8"/>
      <c r="CP108" s="8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1"/>
    </row>
    <row r="109" spans="3:111" ht="15.75" customHeight="1">
      <c r="C109" s="5"/>
      <c r="D109" s="5"/>
      <c r="E109" s="5"/>
      <c r="F109" s="5"/>
      <c r="G109" s="5"/>
      <c r="H109" s="5"/>
      <c r="I109" s="5"/>
      <c r="J109" s="5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2"/>
      <c r="X109" s="32"/>
      <c r="Y109" s="32"/>
      <c r="Z109" s="32"/>
      <c r="AA109" s="36"/>
      <c r="AB109" s="36"/>
      <c r="AC109" s="36"/>
      <c r="AD109" s="36"/>
      <c r="AE109" s="36"/>
      <c r="AF109" s="36"/>
      <c r="AG109" s="36"/>
      <c r="AH109" s="32"/>
      <c r="AI109" s="32"/>
      <c r="AJ109" s="3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56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80"/>
      <c r="BL109" s="22"/>
      <c r="BM109" s="22"/>
      <c r="BN109" s="22"/>
      <c r="BO109" s="22"/>
      <c r="BP109" s="22"/>
      <c r="BQ109" s="22"/>
      <c r="BR109" s="22"/>
      <c r="BS109" s="22"/>
      <c r="BT109" s="8"/>
      <c r="BU109" s="8"/>
      <c r="BV109"/>
      <c r="BW109" s="8"/>
      <c r="CP109" s="8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1"/>
    </row>
    <row r="110" spans="3:111" ht="15.75" customHeight="1">
      <c r="C110" s="5"/>
      <c r="D110" s="5"/>
      <c r="E110" s="5"/>
      <c r="F110" s="5"/>
      <c r="G110" s="5"/>
      <c r="H110" s="5"/>
      <c r="I110" s="5"/>
      <c r="J110" s="5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24"/>
      <c r="AH110" s="36"/>
      <c r="AI110" s="36"/>
      <c r="AJ110" s="36"/>
      <c r="AK110" s="80"/>
      <c r="AL110" s="80"/>
      <c r="AM110" s="22"/>
      <c r="AN110" s="22"/>
      <c r="AO110" s="22"/>
      <c r="AP110" s="22"/>
      <c r="AQ110" s="22"/>
      <c r="AR110" s="22"/>
      <c r="AS110" s="22"/>
      <c r="AT110" s="22"/>
      <c r="AU110" s="80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8"/>
      <c r="BU110" s="8"/>
      <c r="BV110"/>
      <c r="BW110" s="8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22"/>
      <c r="CM110" s="22"/>
      <c r="CN110" s="22"/>
      <c r="CO110" s="8"/>
      <c r="CP110" s="8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1"/>
    </row>
    <row r="111" spans="3:111" ht="15.75" customHeight="1">
      <c r="C111" s="5"/>
      <c r="D111" s="5"/>
      <c r="E111" s="5"/>
      <c r="F111" s="5"/>
      <c r="G111" s="5"/>
      <c r="H111" s="5"/>
      <c r="I111" s="5"/>
      <c r="J111" s="5"/>
      <c r="M111" s="36"/>
      <c r="N111" s="36"/>
      <c r="O111" s="36"/>
      <c r="P111" s="36"/>
      <c r="Q111" s="36"/>
      <c r="R111" s="36"/>
      <c r="S111" s="32"/>
      <c r="T111" s="32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2"/>
      <c r="AH111" s="36"/>
      <c r="AI111" s="36"/>
      <c r="AJ111" s="36"/>
      <c r="AK111" s="22"/>
      <c r="AL111" s="22"/>
      <c r="AM111" s="22"/>
      <c r="AN111" s="22"/>
      <c r="AO111" s="22"/>
      <c r="AP111" s="80"/>
      <c r="AQ111" s="22"/>
      <c r="AR111" s="22"/>
      <c r="AS111" s="22"/>
      <c r="AT111" s="22"/>
      <c r="AU111" s="80"/>
      <c r="AV111" s="22"/>
      <c r="AW111" s="22"/>
      <c r="AX111" s="22"/>
      <c r="AY111" s="22"/>
      <c r="AZ111" s="22"/>
      <c r="BA111" s="22"/>
      <c r="BB111" s="22"/>
      <c r="BC111" s="22"/>
      <c r="BD111" s="81"/>
      <c r="BE111" s="22"/>
      <c r="BF111" s="22"/>
      <c r="BG111" s="22"/>
      <c r="BH111" s="22"/>
      <c r="BI111" s="22"/>
      <c r="BJ111" s="22"/>
      <c r="BK111" s="22"/>
      <c r="BL111" s="80"/>
      <c r="BM111" s="22"/>
      <c r="BN111" s="22"/>
      <c r="BO111" s="22"/>
      <c r="BP111" s="22"/>
      <c r="BQ111" s="22"/>
      <c r="BR111" s="22"/>
      <c r="BS111" s="22"/>
      <c r="BT111" s="8"/>
      <c r="BU111" s="8"/>
      <c r="BV111"/>
      <c r="BW111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22"/>
      <c r="CM111" s="22"/>
      <c r="CN111" s="22"/>
      <c r="CO111" s="8"/>
      <c r="CP111" s="8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1"/>
    </row>
    <row r="112" spans="3:111" ht="15.75" customHeight="1">
      <c r="C112" s="5"/>
      <c r="D112" s="5"/>
      <c r="E112" s="5"/>
      <c r="F112" s="5"/>
      <c r="G112" s="5"/>
      <c r="H112" s="5"/>
      <c r="I112" s="5"/>
      <c r="J112" s="5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22"/>
      <c r="AL112" s="22"/>
      <c r="AM112" s="22"/>
      <c r="AN112" s="22"/>
      <c r="AO112" s="22"/>
      <c r="AP112" s="22"/>
      <c r="AQ112" s="80"/>
      <c r="AR112" s="22"/>
      <c r="AS112" s="22"/>
      <c r="AT112" s="22"/>
      <c r="AU112" s="22"/>
      <c r="AV112" s="22"/>
      <c r="AW112" s="22"/>
      <c r="AX112" s="22"/>
      <c r="AY112" s="22"/>
      <c r="AZ112" s="133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80"/>
      <c r="BM112" s="22"/>
      <c r="BN112" s="22"/>
      <c r="BO112" s="81"/>
      <c r="BP112" s="22"/>
      <c r="BQ112" s="22"/>
      <c r="BR112" s="22"/>
      <c r="BS112" s="80"/>
      <c r="BT112" s="8"/>
      <c r="BU112" s="8"/>
      <c r="BV112"/>
      <c r="BW1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22"/>
      <c r="CM112" s="22"/>
      <c r="CN112" s="22"/>
      <c r="CO112" s="8"/>
      <c r="CP112" s="8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1"/>
    </row>
    <row r="113" spans="3:111" ht="15.75" customHeight="1">
      <c r="C113" s="5"/>
      <c r="D113" s="5"/>
      <c r="E113" s="5"/>
      <c r="F113" s="5"/>
      <c r="G113" s="5"/>
      <c r="H113" s="5"/>
      <c r="I113" s="5"/>
      <c r="J113" s="5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2"/>
      <c r="AD113" s="32"/>
      <c r="AE113" s="36"/>
      <c r="AF113" s="36"/>
      <c r="AG113" s="36"/>
      <c r="AH113" s="36"/>
      <c r="AI113" s="36"/>
      <c r="AJ113" s="36"/>
      <c r="AK113" s="22"/>
      <c r="AL113" s="22"/>
      <c r="AM113" s="22"/>
      <c r="AN113" s="22"/>
      <c r="AO113" s="80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41"/>
      <c r="BA113" s="22"/>
      <c r="BB113" s="22"/>
      <c r="BC113" s="22"/>
      <c r="BD113" s="22"/>
      <c r="BE113" s="22"/>
      <c r="BF113" s="22"/>
      <c r="BG113" s="22"/>
      <c r="BH113" s="80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8"/>
      <c r="BU113" s="8"/>
      <c r="BV113"/>
      <c r="BW113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22"/>
      <c r="CM113" s="22"/>
      <c r="CN113" s="22"/>
      <c r="CO113" s="8"/>
      <c r="CP113" s="8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1"/>
    </row>
    <row r="114" spans="3:111" ht="15.75" customHeight="1">
      <c r="M114" s="36"/>
      <c r="N114" s="36"/>
      <c r="O114" s="36"/>
      <c r="P114" s="36"/>
      <c r="Q114" s="36"/>
      <c r="R114" s="36"/>
      <c r="S114" s="36"/>
      <c r="T114" s="36"/>
      <c r="U114" s="32"/>
      <c r="V114" s="32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22"/>
      <c r="AL114" s="22"/>
      <c r="AM114" s="22"/>
      <c r="AN114" s="22"/>
      <c r="AO114" s="22"/>
      <c r="AP114" s="22"/>
      <c r="AQ114" s="80"/>
      <c r="AR114" s="22"/>
      <c r="AS114" s="80"/>
      <c r="AT114" s="22"/>
      <c r="AU114" s="22"/>
      <c r="AV114" s="80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80"/>
      <c r="BH114" s="22"/>
      <c r="BI114" s="22"/>
      <c r="BJ114" s="22"/>
      <c r="BK114" s="22"/>
      <c r="BL114" s="36"/>
      <c r="BM114" s="36"/>
      <c r="BN114" s="36"/>
      <c r="BO114" s="36"/>
      <c r="BP114" s="36"/>
      <c r="BQ114" s="36"/>
      <c r="BR114" s="36"/>
      <c r="BS114" s="36"/>
      <c r="BT114" s="8"/>
      <c r="BU114" s="8"/>
      <c r="BV114"/>
      <c r="BW114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</row>
    <row r="115" spans="3:111" ht="15.75" customHeight="1">
      <c r="M115" s="36"/>
      <c r="N115" s="36"/>
      <c r="O115" s="36"/>
      <c r="P115" s="36"/>
      <c r="Q115" s="36"/>
      <c r="R115" s="36"/>
      <c r="S115" s="36"/>
      <c r="T115" s="36"/>
      <c r="U115" s="22" t="str">
        <f>IF($AC$119=Dades!$F$32,"Molt bé!!!",IF($AC$119=Dades!$G$32,"Molt bé!!!",""))</f>
        <v/>
      </c>
      <c r="V115" s="22"/>
      <c r="W115" s="32"/>
      <c r="X115" s="32"/>
      <c r="Y115" s="32"/>
      <c r="Z115" s="32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80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36"/>
      <c r="BM115" s="36"/>
      <c r="BN115" s="36"/>
      <c r="BO115" s="36"/>
      <c r="BP115" s="36"/>
      <c r="BQ115" s="36"/>
      <c r="BR115" s="36"/>
      <c r="BS115" s="36"/>
      <c r="BT115" s="8"/>
      <c r="BU115" s="8"/>
      <c r="BV115"/>
      <c r="BW115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</row>
    <row r="116" spans="3:111" ht="15.75" customHeight="1"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22"/>
      <c r="AB116" s="22"/>
      <c r="AC116" s="22"/>
      <c r="AD116" s="22"/>
      <c r="AE116" s="80"/>
      <c r="AF116" s="32"/>
      <c r="AG116" s="36"/>
      <c r="AH116" s="36"/>
      <c r="AI116" s="36"/>
      <c r="AJ116" s="36"/>
      <c r="AK116" s="22"/>
      <c r="AL116" s="22"/>
      <c r="AM116" s="80"/>
      <c r="AN116" s="80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36"/>
      <c r="BM116" s="36"/>
      <c r="BN116" s="36"/>
      <c r="BO116" s="36"/>
      <c r="BP116" s="36"/>
      <c r="BQ116" s="36"/>
      <c r="BR116" s="36"/>
      <c r="BS116" s="36"/>
      <c r="BT116" s="138"/>
      <c r="BU116" s="8"/>
      <c r="BV116"/>
      <c r="BW116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</row>
    <row r="117" spans="3:111" ht="15.75" customHeight="1">
      <c r="I117" s="8"/>
      <c r="J117" s="8"/>
      <c r="K117" s="8"/>
      <c r="L117" s="8"/>
      <c r="M117" s="22"/>
      <c r="N117" s="22"/>
      <c r="O117" s="22"/>
      <c r="P117" s="22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22"/>
      <c r="AB117" s="22"/>
      <c r="AC117" s="22"/>
      <c r="AD117" s="22"/>
      <c r="AE117" s="22"/>
      <c r="AF117" s="36"/>
      <c r="AG117" s="36"/>
      <c r="AH117" s="36"/>
      <c r="AI117" s="36"/>
      <c r="AJ117" s="36"/>
      <c r="AK117" s="22"/>
      <c r="AL117" s="22"/>
      <c r="AM117" s="22"/>
      <c r="AN117" s="22"/>
      <c r="AO117" s="22"/>
      <c r="AP117" s="22"/>
      <c r="AQ117" s="56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80"/>
      <c r="BC117" s="22"/>
      <c r="BD117" s="22"/>
      <c r="BE117" s="22"/>
      <c r="BF117" s="22"/>
      <c r="BG117" s="56"/>
      <c r="BH117" s="22"/>
      <c r="BI117" s="22"/>
      <c r="BJ117" s="22"/>
      <c r="BK117" s="22"/>
      <c r="BL117" s="36"/>
      <c r="BM117" s="36"/>
      <c r="BN117" s="36"/>
      <c r="BO117" s="36"/>
      <c r="BP117" s="36"/>
      <c r="BQ117" s="36"/>
      <c r="BR117" s="36"/>
      <c r="BS117" s="36"/>
      <c r="BT117" s="138"/>
      <c r="BU117" s="8"/>
      <c r="BV117"/>
      <c r="BW117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</row>
    <row r="118" spans="3:111" ht="15.75" customHeight="1">
      <c r="I118" s="8"/>
      <c r="J118" s="8"/>
      <c r="K118" s="8"/>
      <c r="L118" s="8"/>
      <c r="M118" s="22"/>
      <c r="N118" s="22"/>
      <c r="O118" s="80"/>
      <c r="P118" s="80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22"/>
      <c r="AB118" s="22"/>
      <c r="AC118" s="22"/>
      <c r="AD118" s="22"/>
      <c r="AE118" s="22"/>
      <c r="AF118" s="36"/>
      <c r="AG118" s="36"/>
      <c r="AH118" s="36"/>
      <c r="AI118" s="36"/>
      <c r="AJ118" s="36"/>
      <c r="AK118" s="22"/>
      <c r="AL118" s="22"/>
      <c r="AM118" s="22"/>
      <c r="AN118" s="22"/>
      <c r="AO118" s="22"/>
      <c r="AP118" s="22"/>
      <c r="AQ118" s="80"/>
      <c r="AR118" s="22"/>
      <c r="AS118" s="22"/>
      <c r="AT118" s="22"/>
      <c r="AU118" s="22"/>
      <c r="AV118" s="56"/>
      <c r="AW118" s="22"/>
      <c r="AX118" s="22"/>
      <c r="AY118" s="22"/>
      <c r="AZ118" s="22"/>
      <c r="BA118" s="80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36"/>
      <c r="BM118" s="36"/>
      <c r="BN118" s="36"/>
      <c r="BO118" s="36"/>
      <c r="BP118" s="36"/>
      <c r="BQ118" s="36"/>
      <c r="BR118" s="36"/>
      <c r="BS118" s="36"/>
      <c r="BT118" s="138"/>
      <c r="BU118" s="8"/>
      <c r="BV118"/>
      <c r="BW118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</row>
    <row r="119" spans="3:111" ht="15.75" customHeight="1">
      <c r="I119" s="8"/>
      <c r="J119" s="8"/>
      <c r="K119" s="8"/>
      <c r="L119" s="8"/>
      <c r="M119" s="22"/>
      <c r="N119" s="22"/>
      <c r="O119" s="22"/>
      <c r="P119" s="22"/>
      <c r="Q119" s="32"/>
      <c r="R119" s="32"/>
      <c r="S119" s="36"/>
      <c r="T119" s="36"/>
      <c r="U119" s="36"/>
      <c r="V119" s="36"/>
      <c r="W119" s="36"/>
      <c r="X119" s="36"/>
      <c r="Y119" s="36"/>
      <c r="Z119" s="36"/>
      <c r="AA119" s="22"/>
      <c r="AB119" s="22"/>
      <c r="AC119" s="56"/>
      <c r="AD119" s="56"/>
      <c r="AE119" s="22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22"/>
      <c r="AQ119" s="36"/>
      <c r="AR119" s="36"/>
      <c r="AS119" s="36"/>
      <c r="AT119" s="36"/>
      <c r="AU119" s="36"/>
      <c r="AV119" s="36"/>
      <c r="AW119" s="22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138"/>
      <c r="BU119" s="8"/>
      <c r="BV119"/>
      <c r="BW119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</row>
    <row r="120" spans="3:111" ht="15.75" customHeight="1">
      <c r="I120" s="8"/>
      <c r="J120" s="8"/>
      <c r="K120" s="130"/>
      <c r="L120" s="130"/>
      <c r="M120" s="22"/>
      <c r="N120" s="22"/>
      <c r="O120" s="22"/>
      <c r="P120" s="22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22"/>
      <c r="AB120" s="22"/>
      <c r="AC120" s="80"/>
      <c r="AD120" s="80"/>
      <c r="AE120" s="22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2"/>
      <c r="AQ120" s="36"/>
      <c r="AR120" s="36"/>
      <c r="AS120" s="36"/>
      <c r="AT120" s="32"/>
      <c r="AU120" s="36"/>
      <c r="AV120" s="22"/>
      <c r="AW120" s="36"/>
      <c r="AX120" s="36"/>
      <c r="AY120" s="36"/>
      <c r="AZ120" s="36"/>
      <c r="BA120" s="36"/>
      <c r="BB120" s="23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138"/>
      <c r="BU120" s="8"/>
      <c r="BV120"/>
      <c r="BW120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</row>
    <row r="121" spans="3:111" ht="15.75" customHeight="1">
      <c r="I121" s="8"/>
      <c r="J121" s="8"/>
      <c r="K121" s="8"/>
      <c r="L121" s="8"/>
      <c r="M121" s="22"/>
      <c r="N121" s="22"/>
      <c r="O121" s="80"/>
      <c r="P121" s="80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22"/>
      <c r="AB121" s="22"/>
      <c r="AC121" s="86"/>
      <c r="AD121" s="86"/>
      <c r="AE121" s="86"/>
      <c r="AF121" s="8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2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138"/>
      <c r="BU121" s="8"/>
      <c r="BV121"/>
      <c r="BW121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</row>
    <row r="122" spans="3:111" ht="15.75" customHeight="1">
      <c r="I122" s="8"/>
      <c r="J122" s="8"/>
      <c r="K122" s="8"/>
      <c r="L122" s="8"/>
      <c r="M122" s="22"/>
      <c r="N122" s="22"/>
      <c r="O122" s="22"/>
      <c r="P122" s="22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22"/>
      <c r="AB122" s="22"/>
      <c r="AC122" s="86"/>
      <c r="AD122" s="86"/>
      <c r="AE122" s="86"/>
      <c r="AF122" s="86"/>
      <c r="AG122" s="36"/>
      <c r="AH122" s="32"/>
      <c r="AI122" s="32"/>
      <c r="AJ122" s="32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2"/>
      <c r="AW122" s="36"/>
      <c r="AX122" s="36"/>
      <c r="AY122" s="36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128"/>
      <c r="BU122" s="8"/>
      <c r="BV122"/>
      <c r="BW12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</row>
    <row r="123" spans="3:111" ht="15.75" customHeight="1">
      <c r="I123" s="8"/>
      <c r="J123" s="8"/>
      <c r="K123" s="8"/>
      <c r="L123" s="8"/>
      <c r="M123" s="22"/>
      <c r="N123" s="22"/>
      <c r="O123" s="22"/>
      <c r="P123" s="22"/>
      <c r="Q123" s="32"/>
      <c r="R123" s="32"/>
      <c r="S123" s="36"/>
      <c r="T123" s="36"/>
      <c r="U123" s="36"/>
      <c r="V123" s="36"/>
      <c r="W123" s="36"/>
      <c r="X123" s="36"/>
      <c r="Y123" s="36"/>
      <c r="Z123" s="36"/>
      <c r="AA123" s="22"/>
      <c r="AB123" s="22"/>
      <c r="AC123" s="86"/>
      <c r="AD123" s="86"/>
      <c r="AE123" s="22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2"/>
      <c r="AU123" s="36"/>
      <c r="AV123" s="36"/>
      <c r="AW123" s="36"/>
      <c r="AX123" s="36"/>
      <c r="AY123" s="36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128"/>
      <c r="BU123" s="8"/>
      <c r="BV123"/>
      <c r="BW123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</row>
    <row r="124" spans="3:111" ht="15.75" customHeight="1">
      <c r="I124" s="8"/>
      <c r="J124" s="8"/>
      <c r="K124" s="8"/>
      <c r="L124" s="8"/>
      <c r="M124" s="22"/>
      <c r="N124" s="22"/>
      <c r="O124" s="56"/>
      <c r="P124" s="5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22"/>
      <c r="AB124" s="22"/>
      <c r="AC124" s="22"/>
      <c r="AD124" s="22"/>
      <c r="AE124" s="22"/>
      <c r="AF124" s="36"/>
      <c r="AG124" s="32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2"/>
      <c r="AT124" s="36"/>
      <c r="AU124" s="36"/>
      <c r="AV124" s="36"/>
      <c r="AW124" s="36"/>
      <c r="AX124" s="36"/>
      <c r="AY124" s="36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22"/>
      <c r="BU124" s="8"/>
      <c r="BV124"/>
      <c r="BW124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</row>
    <row r="125" spans="3:111" ht="15.75" customHeight="1">
      <c r="I125" s="8"/>
      <c r="J125" s="8"/>
      <c r="K125" s="8"/>
      <c r="L125" s="8"/>
      <c r="M125" s="22"/>
      <c r="N125" s="22"/>
      <c r="O125" s="22"/>
      <c r="P125" s="22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22"/>
      <c r="AB125" s="22"/>
      <c r="AC125" s="22"/>
      <c r="AD125" s="22"/>
      <c r="AE125" s="22"/>
      <c r="AF125" s="36"/>
      <c r="AG125" s="36"/>
      <c r="AH125" s="32"/>
      <c r="AI125" s="32"/>
      <c r="AJ125" s="32"/>
      <c r="AK125" s="36"/>
      <c r="AL125" s="36"/>
      <c r="AM125" s="36"/>
      <c r="AN125" s="36"/>
      <c r="AO125" s="36"/>
      <c r="AP125" s="36"/>
      <c r="AQ125" s="36"/>
      <c r="AR125" s="32"/>
      <c r="AS125" s="36"/>
      <c r="AT125" s="36"/>
      <c r="AU125" s="36"/>
      <c r="AV125" s="36"/>
      <c r="AW125" s="36"/>
      <c r="AX125" s="36"/>
      <c r="AY125" s="36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22"/>
      <c r="BU125" s="8"/>
      <c r="BV125"/>
      <c r="BW125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</row>
    <row r="126" spans="3:111" ht="15.75" customHeight="1">
      <c r="I126" s="8"/>
      <c r="J126" s="8"/>
      <c r="K126" s="8"/>
      <c r="L126" s="8"/>
      <c r="M126" s="22"/>
      <c r="N126" s="22"/>
      <c r="O126" s="41"/>
      <c r="P126" s="41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22"/>
      <c r="AB126" s="22"/>
      <c r="AC126" s="22"/>
      <c r="AD126" s="22"/>
      <c r="AE126" s="22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8"/>
      <c r="BU126" s="8"/>
      <c r="BV126"/>
      <c r="BW126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</row>
    <row r="127" spans="3:111" ht="15.75" customHeight="1">
      <c r="M127" s="32"/>
      <c r="N127" s="32"/>
      <c r="O127" s="41"/>
      <c r="P127" s="41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22"/>
      <c r="AB127" s="22"/>
      <c r="AC127" s="80"/>
      <c r="AD127" s="80"/>
      <c r="AE127" s="22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8"/>
      <c r="BU127" s="8"/>
      <c r="BV127"/>
      <c r="BW127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</row>
    <row r="128" spans="3:111" ht="15.75" customHeight="1">
      <c r="K128" s="5"/>
      <c r="L128" s="5"/>
      <c r="M128" s="36"/>
      <c r="N128" s="36"/>
      <c r="O128" s="32"/>
      <c r="P128" s="32"/>
      <c r="Q128" s="36"/>
      <c r="R128" s="36"/>
      <c r="S128" s="36"/>
      <c r="T128" s="36"/>
      <c r="U128" s="36"/>
      <c r="V128" s="36"/>
      <c r="W128" s="32"/>
      <c r="X128" s="32"/>
      <c r="Y128" s="32"/>
      <c r="Z128" s="32"/>
      <c r="AA128" s="22"/>
      <c r="AB128" s="22"/>
      <c r="AC128" s="22"/>
      <c r="AD128" s="22"/>
      <c r="AE128" s="22"/>
      <c r="AF128" s="36"/>
      <c r="AG128" s="36"/>
      <c r="AH128" s="36"/>
      <c r="AI128" s="36"/>
      <c r="AJ128" s="36"/>
      <c r="AK128" s="36"/>
      <c r="AL128" s="36"/>
      <c r="AM128" s="32"/>
      <c r="AN128" s="32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22"/>
      <c r="BU128" s="8"/>
      <c r="BV128"/>
      <c r="BW128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</row>
    <row r="129" spans="13:92" ht="15.75" customHeight="1"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22"/>
      <c r="AB129" s="22"/>
      <c r="AC129" s="22"/>
      <c r="AD129" s="22"/>
      <c r="AE129" s="22"/>
      <c r="AF129" s="36"/>
      <c r="AG129" s="22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22"/>
      <c r="BU129" s="8"/>
      <c r="BV129"/>
      <c r="BW129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</row>
    <row r="130" spans="13:92" ht="15.75" customHeight="1"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22"/>
      <c r="X130" s="22"/>
      <c r="Y130" s="22"/>
      <c r="Z130" s="22"/>
      <c r="AA130" s="22"/>
      <c r="AB130" s="22"/>
      <c r="AC130" s="22"/>
      <c r="AD130" s="22"/>
      <c r="AE130" s="22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8"/>
      <c r="BU130" s="8"/>
      <c r="BV130"/>
      <c r="BW130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</row>
    <row r="131" spans="13:92" ht="15.75" customHeight="1">
      <c r="M131" s="36"/>
      <c r="N131" s="36"/>
      <c r="O131" s="36"/>
      <c r="P131" s="36"/>
      <c r="Q131" s="36"/>
      <c r="R131" s="36"/>
      <c r="S131" s="32"/>
      <c r="T131" s="32"/>
      <c r="U131" s="36"/>
      <c r="V131" s="36"/>
      <c r="W131" s="36"/>
      <c r="X131" s="36"/>
      <c r="Y131" s="36"/>
      <c r="Z131" s="36"/>
      <c r="AA131" s="22"/>
      <c r="AB131" s="22"/>
      <c r="AC131" s="22"/>
      <c r="AD131" s="22"/>
      <c r="AE131" s="22"/>
      <c r="AF131" s="36"/>
      <c r="AG131" s="36"/>
      <c r="AH131" s="36"/>
      <c r="AI131" s="36"/>
      <c r="AJ131" s="36"/>
      <c r="AK131" s="41"/>
      <c r="AL131" s="41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4" t="s">
        <v>2</v>
      </c>
      <c r="BN131" s="14"/>
      <c r="BO131" s="14"/>
      <c r="BP131" s="14"/>
      <c r="BQ131" s="14"/>
      <c r="BR131" s="14"/>
      <c r="BS131" s="31">
        <f>Dades!$H$45</f>
        <v>0</v>
      </c>
      <c r="BT131" s="128"/>
      <c r="BU131" s="8"/>
      <c r="BV131"/>
      <c r="BW131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</row>
    <row r="132" spans="13:92" ht="15.75" customHeight="1">
      <c r="M132" s="36"/>
      <c r="N132" s="36"/>
      <c r="O132" s="36"/>
      <c r="P132" s="36"/>
      <c r="Q132" s="32"/>
      <c r="R132" s="32"/>
      <c r="S132" s="36"/>
      <c r="T132" s="36"/>
      <c r="U132" s="36"/>
      <c r="V132" s="36"/>
      <c r="W132" s="36"/>
      <c r="X132" s="36"/>
      <c r="Y132" s="36"/>
      <c r="Z132" s="36"/>
      <c r="AA132" s="22"/>
      <c r="AB132" s="22"/>
      <c r="AC132" s="56"/>
      <c r="AD132" s="56"/>
      <c r="AE132" s="22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22"/>
      <c r="BU132" s="8"/>
      <c r="BV132"/>
      <c r="BW13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</row>
    <row r="133" spans="13:92" ht="15.75" customHeight="1"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22"/>
      <c r="AB133" s="22"/>
      <c r="AC133" s="22"/>
      <c r="AD133" s="22"/>
      <c r="AE133" s="22"/>
      <c r="AF133" s="36"/>
      <c r="AG133" s="36"/>
      <c r="AH133" s="36"/>
      <c r="AI133" s="36"/>
      <c r="AJ133" s="36"/>
      <c r="AK133" s="36"/>
      <c r="AL133" s="36"/>
      <c r="AM133" s="32"/>
      <c r="AN133" s="32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22"/>
      <c r="BU133" s="8"/>
      <c r="BV133"/>
      <c r="BW133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</row>
    <row r="134" spans="13:92" ht="15.75" customHeight="1">
      <c r="M134" s="36"/>
      <c r="N134" s="36"/>
      <c r="O134" s="36"/>
      <c r="P134" s="36"/>
      <c r="Q134" s="36"/>
      <c r="R134" s="36"/>
      <c r="S134" s="77"/>
      <c r="T134" s="77"/>
      <c r="U134" s="36"/>
      <c r="V134" s="36"/>
      <c r="W134" s="36"/>
      <c r="X134" s="36"/>
      <c r="Y134" s="36"/>
      <c r="Z134" s="36"/>
      <c r="AA134" s="22"/>
      <c r="AB134" s="22"/>
      <c r="AC134" s="22"/>
      <c r="AD134" s="22"/>
      <c r="AE134" s="22"/>
      <c r="AF134" s="36"/>
      <c r="AG134" s="22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8"/>
      <c r="BU134" s="8"/>
      <c r="BV134"/>
      <c r="BW134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</row>
    <row r="135" spans="13:92" ht="15.75" customHeight="1"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77"/>
      <c r="X135" s="77"/>
      <c r="Y135" s="77"/>
      <c r="Z135" s="77"/>
      <c r="AA135" s="22"/>
      <c r="AB135" s="22"/>
      <c r="AC135" s="22"/>
      <c r="AD135" s="22"/>
      <c r="AE135" s="22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77"/>
      <c r="AQ135" s="36"/>
      <c r="AR135" s="36"/>
      <c r="AS135" s="36"/>
      <c r="AT135" s="36"/>
      <c r="AU135" s="36"/>
      <c r="AV135" s="36"/>
      <c r="AW135" s="36"/>
      <c r="AX135" s="36"/>
      <c r="AY135" s="36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22"/>
      <c r="BU135" s="8"/>
      <c r="BV135"/>
      <c r="BW135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</row>
    <row r="136" spans="13:92" ht="15.75" customHeight="1"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22"/>
      <c r="AB136" s="22"/>
      <c r="AC136" s="22"/>
      <c r="AD136" s="22"/>
      <c r="AE136" s="22"/>
      <c r="AF136" s="36"/>
      <c r="AG136" s="36"/>
      <c r="AH136" s="36"/>
      <c r="AI136" s="36"/>
      <c r="AJ136" s="36"/>
      <c r="AK136" s="36"/>
      <c r="AL136" s="36"/>
      <c r="AM136" s="36"/>
      <c r="AN136" s="36"/>
      <c r="AO136" s="77"/>
      <c r="AP136" s="36"/>
      <c r="AQ136" s="36"/>
      <c r="AR136" s="36"/>
      <c r="AS136" s="36"/>
      <c r="AT136" s="36"/>
      <c r="AU136" s="36"/>
      <c r="AV136" s="36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22"/>
      <c r="BU136" s="8"/>
      <c r="BV136"/>
      <c r="BW136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</row>
    <row r="137" spans="13:92" ht="15.75" customHeight="1">
      <c r="M137" s="36"/>
      <c r="N137" s="36"/>
      <c r="O137" s="36"/>
      <c r="P137" s="36"/>
      <c r="Q137" s="36"/>
      <c r="R137" s="36"/>
      <c r="S137" s="77"/>
      <c r="T137" s="77"/>
      <c r="U137" s="36"/>
      <c r="V137" s="36"/>
      <c r="W137" s="36"/>
      <c r="X137" s="36"/>
      <c r="Y137" s="36"/>
      <c r="Z137" s="36"/>
      <c r="AA137" s="22"/>
      <c r="AB137" s="22"/>
      <c r="AC137" s="22"/>
      <c r="AD137" s="22"/>
      <c r="AE137" s="22"/>
      <c r="AF137" s="36"/>
      <c r="AG137" s="77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41"/>
      <c r="AS137" s="36"/>
      <c r="AT137" s="36"/>
      <c r="AU137" s="36"/>
      <c r="AV137" s="36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8"/>
      <c r="BU137" s="8"/>
      <c r="BV137"/>
      <c r="BW137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</row>
    <row r="138" spans="13:92" ht="15.75" customHeight="1"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88"/>
      <c r="AB138" s="88"/>
      <c r="AC138" s="22"/>
      <c r="AD138" s="22"/>
      <c r="AE138" s="22"/>
      <c r="AF138" s="36"/>
      <c r="AG138" s="36"/>
      <c r="AH138" s="36"/>
      <c r="AI138" s="36"/>
      <c r="AJ138" s="36"/>
      <c r="AK138" s="56"/>
      <c r="AL138" s="5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8"/>
      <c r="BU138" s="8"/>
      <c r="BV138"/>
      <c r="BW138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</row>
    <row r="139" spans="13:92" ht="15.75" customHeight="1"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22"/>
      <c r="AB139" s="22"/>
      <c r="AC139" s="22"/>
      <c r="AD139" s="22"/>
      <c r="AE139" s="22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22"/>
      <c r="BU139" s="8"/>
      <c r="BV139"/>
      <c r="BW139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</row>
    <row r="140" spans="13:92" ht="15.75" customHeight="1"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22"/>
      <c r="BU140" s="8"/>
      <c r="BV140"/>
      <c r="BW140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</row>
    <row r="141" spans="13:92" ht="15.75" customHeight="1"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41"/>
      <c r="AR141" s="36"/>
      <c r="AS141" s="36"/>
      <c r="AT141" s="36"/>
      <c r="AU141" s="36"/>
      <c r="AV141" s="36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8"/>
      <c r="BU141" s="8"/>
      <c r="BV141"/>
      <c r="BW141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</row>
    <row r="142" spans="13:92" ht="15.75" customHeight="1"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BT142" s="128"/>
      <c r="BU142" s="8"/>
      <c r="BV142"/>
      <c r="BW142"/>
    </row>
    <row r="143" spans="13:92" ht="15.75" customHeight="1"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BT143" s="22"/>
      <c r="BU143" s="8"/>
      <c r="BV143"/>
      <c r="BW143"/>
    </row>
    <row r="144" spans="13:92" ht="15.75" customHeight="1"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BT144" s="22"/>
      <c r="BU144" s="8"/>
      <c r="BV144"/>
      <c r="BW144"/>
    </row>
    <row r="145" spans="13:76" ht="15.75" customHeight="1"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BT145" s="128"/>
      <c r="BU145" s="8"/>
      <c r="BV145" s="129"/>
      <c r="BW145" s="8"/>
      <c r="BX145" s="127"/>
    </row>
    <row r="146" spans="13:76" ht="15.75" customHeight="1"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BT146" s="128"/>
      <c r="BU146" s="8"/>
      <c r="BV146" s="129"/>
      <c r="BW146" s="8"/>
      <c r="BX146" s="127"/>
    </row>
    <row r="147" spans="13:76" ht="15.75" customHeight="1"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BT147" s="22"/>
      <c r="BU147" s="8"/>
      <c r="BV147" s="129"/>
      <c r="BW147" s="8"/>
      <c r="BX147" s="127"/>
    </row>
    <row r="148" spans="13:76" ht="15.75" customHeight="1"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BT148" s="22"/>
      <c r="BU148" s="8"/>
      <c r="BV148" s="129"/>
      <c r="BW148" s="8"/>
      <c r="BX148" s="127"/>
    </row>
    <row r="149" spans="13:76" ht="15.75" customHeight="1"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BT149" s="128"/>
      <c r="BU149" s="8"/>
      <c r="BV149" s="129"/>
      <c r="BW149" s="8"/>
      <c r="BX149" s="127"/>
    </row>
    <row r="150" spans="13:76" ht="15.75" customHeight="1"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BT150" s="128"/>
      <c r="BU150" s="8"/>
      <c r="BV150" s="129"/>
      <c r="BW150" s="8"/>
      <c r="BX150" s="127"/>
    </row>
    <row r="151" spans="13:76" ht="15.75" customHeight="1"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BT151" s="22"/>
      <c r="BU151" s="8"/>
      <c r="BV151" s="129"/>
      <c r="BW151" s="8"/>
      <c r="BX151" s="127"/>
    </row>
    <row r="152" spans="13:76" ht="15.75" customHeight="1"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BT152" s="22"/>
      <c r="BU152" s="8"/>
      <c r="BV152" s="129"/>
      <c r="BW152" s="8"/>
      <c r="BX152" s="127"/>
    </row>
    <row r="153" spans="13:76" ht="15.75" customHeight="1"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BT153" s="128"/>
      <c r="BU153" s="8"/>
      <c r="BV153" s="129"/>
      <c r="BW153" s="8"/>
      <c r="BX153" s="127"/>
    </row>
    <row r="154" spans="13:76" ht="15.75" customHeight="1"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BT154" s="128"/>
      <c r="BU154" s="8"/>
      <c r="BV154" s="129"/>
      <c r="BW154" s="8"/>
      <c r="BX154" s="127"/>
    </row>
    <row r="155" spans="13:76" ht="15.75" customHeight="1"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BT155" s="22"/>
      <c r="BU155" s="8"/>
      <c r="BV155" s="129"/>
      <c r="BW155" s="8"/>
      <c r="BX155" s="127"/>
    </row>
    <row r="156" spans="13:76" ht="15.75" customHeight="1">
      <c r="BT156" s="22"/>
      <c r="BU156" s="8"/>
      <c r="BV156" s="129"/>
      <c r="BW156" s="8"/>
      <c r="BX156" s="127"/>
    </row>
    <row r="157" spans="13:76" ht="15.75" customHeight="1">
      <c r="BT157" s="128"/>
      <c r="BU157" s="8"/>
      <c r="BV157" s="129"/>
      <c r="BW157" s="8"/>
      <c r="BX157" s="127"/>
    </row>
    <row r="158" spans="13:76" ht="15.75" customHeight="1">
      <c r="BT158" s="128"/>
      <c r="BU158" s="8"/>
      <c r="BV158" s="129"/>
      <c r="BW158" s="8"/>
      <c r="BX158" s="127"/>
    </row>
    <row r="159" spans="13:76" ht="15.75" customHeight="1">
      <c r="BT159" s="22"/>
      <c r="BU159" s="8"/>
      <c r="BV159" s="129"/>
      <c r="BW159" s="8"/>
      <c r="BX159" s="127"/>
    </row>
    <row r="160" spans="13:76" ht="15.75" customHeight="1">
      <c r="BT160" s="22"/>
      <c r="BU160" s="8"/>
      <c r="BV160" s="129"/>
      <c r="BW160" s="8"/>
      <c r="BX160" s="127"/>
    </row>
    <row r="161" spans="72:76" ht="15.75" customHeight="1">
      <c r="BT161" s="128"/>
      <c r="BU161" s="8"/>
      <c r="BV161" s="129"/>
      <c r="BW161" s="8"/>
      <c r="BX161" s="127"/>
    </row>
    <row r="162" spans="72:76" ht="15.75" customHeight="1">
      <c r="BT162" s="128"/>
      <c r="BU162" s="8"/>
      <c r="BV162" s="129"/>
      <c r="BW162" s="8"/>
      <c r="BX162" s="127"/>
    </row>
    <row r="163" spans="72:76" ht="15.75" customHeight="1">
      <c r="BT163" s="22"/>
      <c r="BU163" s="8"/>
      <c r="BV163" s="129"/>
      <c r="BW163" s="8"/>
      <c r="BX163" s="127"/>
    </row>
    <row r="164" spans="72:76" ht="15.75" customHeight="1">
      <c r="BT164" s="22"/>
      <c r="BU164" s="8"/>
      <c r="BV164" s="129"/>
      <c r="BW164" s="8"/>
      <c r="BX164" s="127"/>
    </row>
    <row r="165" spans="72:76" ht="15.75" customHeight="1">
      <c r="BT165" s="22"/>
      <c r="BU165" s="8"/>
      <c r="BV165" s="129"/>
      <c r="BW165" s="8"/>
      <c r="BX165" s="127"/>
    </row>
    <row r="166" spans="72:76" ht="15.75" customHeight="1">
      <c r="BT166" s="128"/>
      <c r="BU166" s="8"/>
      <c r="BV166" s="129"/>
      <c r="BW166" s="8"/>
      <c r="BX166" s="127"/>
    </row>
    <row r="167" spans="72:76" ht="15.75" customHeight="1">
      <c r="BT167" s="22"/>
      <c r="BU167" s="8"/>
      <c r="BV167" s="129"/>
      <c r="BW167" s="8"/>
      <c r="BX167" s="127"/>
    </row>
    <row r="168" spans="72:76" ht="15.75" customHeight="1">
      <c r="BT168" s="128"/>
      <c r="BU168" s="8"/>
      <c r="BV168" s="129"/>
      <c r="BW168" s="8"/>
      <c r="BX168" s="127"/>
    </row>
    <row r="169" spans="72:76" ht="15.75" customHeight="1">
      <c r="BT169" s="22"/>
      <c r="BU169" s="8"/>
      <c r="BV169" s="129"/>
      <c r="BW169" s="8"/>
      <c r="BX169" s="127"/>
    </row>
    <row r="170" spans="72:76" ht="15.75" customHeight="1">
      <c r="BT170" s="128"/>
      <c r="BU170" s="8"/>
      <c r="BV170" s="129"/>
      <c r="BW170" s="8"/>
      <c r="BX170" s="127"/>
    </row>
    <row r="171" spans="72:76" ht="15.75" customHeight="1">
      <c r="BT171" s="22"/>
      <c r="BU171" s="8"/>
      <c r="BV171" s="129"/>
      <c r="BW171" s="8"/>
      <c r="BX171" s="127"/>
    </row>
    <row r="172" spans="72:76" ht="15.75" customHeight="1">
      <c r="BT172" s="128"/>
      <c r="BU172" s="8"/>
      <c r="BV172" s="129"/>
      <c r="BW172" s="8"/>
      <c r="BX172" s="127"/>
    </row>
    <row r="173" spans="72:76" ht="15.75" customHeight="1">
      <c r="BT173" s="22"/>
      <c r="BU173" s="8"/>
      <c r="BV173" s="129"/>
      <c r="BW173" s="8"/>
      <c r="BX173" s="127"/>
    </row>
    <row r="174" spans="72:76" ht="15.75" customHeight="1">
      <c r="BT174" s="128"/>
      <c r="BU174" s="8"/>
      <c r="BV174" s="129"/>
      <c r="BW174" s="8"/>
      <c r="BX174" s="127"/>
    </row>
    <row r="175" spans="72:76" ht="15.75" customHeight="1">
      <c r="BT175" s="22"/>
      <c r="BU175" s="8"/>
      <c r="BV175" s="129"/>
      <c r="BW175" s="8"/>
      <c r="BX175" s="127"/>
    </row>
    <row r="176" spans="72:76" ht="15.75" customHeight="1">
      <c r="BT176" s="128"/>
      <c r="BU176" s="8"/>
      <c r="BV176" s="129"/>
      <c r="BW176" s="8"/>
      <c r="BX176" s="127"/>
    </row>
    <row r="177" spans="72:76" ht="15.75" customHeight="1">
      <c r="BT177" s="22"/>
      <c r="BU177" s="8"/>
      <c r="BV177" s="129"/>
      <c r="BW177" s="8"/>
      <c r="BX177" s="127"/>
    </row>
    <row r="178" spans="72:76" ht="15.75" customHeight="1">
      <c r="BT178" s="128"/>
      <c r="BU178" s="8"/>
      <c r="BV178" s="129"/>
      <c r="BW178" s="8"/>
      <c r="BX178" s="127"/>
    </row>
    <row r="179" spans="72:76" ht="15.75" customHeight="1">
      <c r="BT179" s="22"/>
      <c r="BU179" s="8"/>
      <c r="BV179" s="129"/>
      <c r="BW179" s="8"/>
      <c r="BX179" s="127"/>
    </row>
    <row r="180" spans="72:76" ht="15.75" customHeight="1">
      <c r="BT180" s="128"/>
      <c r="BU180" s="8"/>
      <c r="BV180" s="8"/>
      <c r="BW180" s="8"/>
      <c r="BX180" s="127"/>
    </row>
    <row r="181" spans="72:76" ht="15.75" customHeight="1">
      <c r="BT181" s="22"/>
      <c r="BU181" s="8"/>
      <c r="BV181" s="8"/>
      <c r="BW181" s="8"/>
      <c r="BX181" s="127"/>
    </row>
    <row r="182" spans="72:76" ht="15.75" customHeight="1">
      <c r="BT182" s="128"/>
      <c r="BU182" s="8"/>
      <c r="BV182" s="8"/>
      <c r="BW182" s="8"/>
      <c r="BX182" s="127"/>
    </row>
    <row r="183" spans="72:76" ht="15.75" customHeight="1">
      <c r="BT183" s="8"/>
      <c r="BU183" s="8"/>
      <c r="BV183" s="8"/>
      <c r="BW183" s="8"/>
      <c r="BX183" s="127"/>
    </row>
    <row r="184" spans="72:76" ht="15.75" customHeight="1">
      <c r="BT184" s="8"/>
      <c r="BU184" s="8"/>
      <c r="BV184" s="8"/>
      <c r="BW184" s="8"/>
    </row>
    <row r="185" spans="72:76" ht="15.75" customHeight="1">
      <c r="BT185" s="8"/>
      <c r="BU185" s="8"/>
      <c r="BV185" s="8"/>
      <c r="BW185" s="8"/>
    </row>
    <row r="186" spans="72:76" ht="15.75" customHeight="1">
      <c r="BT186" s="8"/>
      <c r="BU186" s="8"/>
      <c r="BV186" s="8"/>
      <c r="BW186" s="8"/>
    </row>
    <row r="187" spans="72:76" ht="15.75" customHeight="1">
      <c r="BT187" s="139"/>
      <c r="BU187" s="8"/>
      <c r="BV187" s="8"/>
      <c r="BW187" s="8"/>
    </row>
    <row r="188" spans="72:76" ht="15.75" customHeight="1">
      <c r="BT188" s="8"/>
      <c r="BU188" s="8"/>
      <c r="BV188" s="8"/>
      <c r="BW188" s="8"/>
    </row>
    <row r="189" spans="72:76" ht="15.75" customHeight="1">
      <c r="BT189" s="8"/>
      <c r="BU189" s="8"/>
      <c r="BV189" s="8"/>
      <c r="BW189" s="8"/>
    </row>
    <row r="190" spans="72:76" ht="15.75" customHeight="1">
      <c r="BT190" s="8"/>
      <c r="BU190" s="8"/>
      <c r="BV190" s="8"/>
      <c r="BW190" s="8"/>
    </row>
    <row r="191" spans="72:76" ht="15.75" customHeight="1">
      <c r="BT191" s="8"/>
      <c r="BU191" s="8"/>
      <c r="BV191" s="8"/>
      <c r="BW191" s="8"/>
    </row>
    <row r="192" spans="72:76" ht="15.75" customHeight="1">
      <c r="BT192" s="33"/>
      <c r="BU192" s="33" t="s">
        <v>3</v>
      </c>
      <c r="BV192" s="22"/>
      <c r="BW192" s="8"/>
    </row>
    <row r="193" spans="72:75" ht="15.75" customHeight="1">
      <c r="BT193" s="35"/>
      <c r="BU193" s="35"/>
      <c r="BV193" s="22"/>
      <c r="BW193" s="8"/>
    </row>
    <row r="194" spans="72:75" ht="15.75" customHeight="1">
      <c r="BT194" s="140"/>
      <c r="BU194" s="137">
        <f>IF(BT194=Dades!E2,Dades!F2,IF(Mapa!BT194=Dades!E3,Dades!F3,IF(BT194=Dades!E4,Dades!F4,IF(BT194=Dades!E5,Dades!F5,IF(BT194=Dades!E6,Dades!F6,IF(BT194=Dades!E7,Dades!F7,IF(BT194=Dades!E8,Dades!F8,IF(BT194=Dades!E9,Dades!F9,IF(BT194=Dades!E10,Dades!F10,IF(BT194=Dades!E11,Dades!F11,IF(BT194=Dades!E12,Dades!F12,IF(BT194=Dades!E13,Dades!F13,IF(BT194=Dades!E14,Dades!F14,IF(BT194=Dades!E15,Dades!F15,IF(BT194=Dades!E16,Dades!F16,IF(BT194=Dades!E17,Dades!F17,IF(BT194=Dades!E18,Dades!F18,IF(BT194=Dades!E19,Dades!F19,IF(BT194=Dades!E20,Dades!F20,IF(BT194=Dades!E21,Dades!F21,IF(BT194=Dades!E22,Dades!F22,IF(BT194=Dades!E23,Dades!F23,IF(BT194=Dades!E24,Dades!F24,IF(BT194=Dades!E25,Dades!F25,IF(BT194=Dades!E26,Dades!F26,IF(BT194=Dades!E27,Dades!F27,IF(BT194=Dades!E28,Dades!F28,IF(BT194=Dades!E29,Dades!F29,IF(BT194=Dades!E30,Dades!F30,IF(BT194=Dades!E31,Dades!F31,IF(BT194=Dades!E32,Dades!F32,IF(BT194=Dades!E33,Dades!F33,IF(BT194=Dades!E34,Dades!F34,IF(BT194=Dades!E35,Dades!F35,IF(BT194=Dades!E36,Dades!F36,IF(BT194=Dades!E37,Dades!F37,IF(BT194=Dades!E38,Dades!F38,IF(BT194=Dades!E39,Dades!F39,IF(BT194=Dades!E40,Dades!F40,IF(BT194=Dades!E41,Dades!F41,IF(BT194=Dades!E42,Dades!F42,IF(BT194=Dades!E43,Dades!F43,""))))))))))))))))))))))))))))))))))))))))))</f>
        <v>0</v>
      </c>
      <c r="BV194" s="22"/>
      <c r="BW194" s="8"/>
    </row>
  </sheetData>
  <sheetProtection password="CF58" sheet="1" objects="1" scenarios="1"/>
  <dataValidations count="34">
    <dataValidation type="list" allowBlank="1" showInputMessage="1" showErrorMessage="1" sqref="W38">
      <formula1>Valen</formula1>
    </dataValidation>
    <dataValidation type="list" allowBlank="1" showInputMessage="1" showErrorMessage="1" sqref="S50">
      <formula1>Xàtiva</formula1>
    </dataValidation>
    <dataValidation type="list" allowBlank="1" showInputMessage="1" showErrorMessage="1" sqref="C23">
      <formula1>Ademús</formula1>
    </dataValidation>
    <dataValidation type="list" allowBlank="1" showInputMessage="1" showErrorMessage="1" sqref="M73">
      <formula1>Oriola</formula1>
    </dataValidation>
    <dataValidation type="list" allowBlank="1" showInputMessage="1" showErrorMessage="1" sqref="P68">
      <formula1>Elx</formula1>
    </dataValidation>
    <dataValidation type="list" allowBlank="1" showInputMessage="1" showErrorMessage="1" sqref="M48">
      <formula1>"La Canal Navarrés"</formula1>
    </dataValidation>
    <dataValidation type="list" allowBlank="1" showInputMessage="1" showErrorMessage="1" sqref="S63">
      <formula1>Alacant</formula1>
    </dataValidation>
    <dataValidation type="list" allowBlank="1" showInputMessage="1" showErrorMessage="1" sqref="S59">
      <formula1>Alcoi</formula1>
    </dataValidation>
    <dataValidation type="list" allowBlank="1" showInputMessage="1" showErrorMessage="1" sqref="W17">
      <formula1>Alcorà</formula1>
    </dataValidation>
    <dataValidation type="list" allowBlank="1" showInputMessage="1" showErrorMessage="1" sqref="W13">
      <formula1>Albocàsser</formula1>
    </dataValidation>
    <dataValidation type="list" allowBlank="1" showInputMessage="1" showErrorMessage="1" sqref="S19">
      <formula1>Cirat</formula1>
    </dataValidation>
    <dataValidation type="list" allowBlank="1" showInputMessage="1" showErrorMessage="1" sqref="O26">
      <formula1>Sogorb</formula1>
    </dataValidation>
    <dataValidation type="list" allowBlank="1" showInputMessage="1" showErrorMessage="1" sqref="M59">
      <formula1>Villena</formula1>
    </dataValidation>
    <dataValidation type="list" allowBlank="1" showInputMessage="1" showErrorMessage="1" sqref="AG7">
      <formula1>Vinaròs</formula1>
    </dataValidation>
    <dataValidation type="list" allowBlank="1" showInputMessage="1" showErrorMessage="1" sqref="Y30">
      <formula1>Sagunt</formula1>
    </dataValidation>
    <dataValidation type="list" allowBlank="1" showInputMessage="1" showErrorMessage="1" sqref="O31">
      <formula1>Llíria</formula1>
    </dataValidation>
    <dataValidation type="list" allowBlank="1" showInputMessage="1" showErrorMessage="1" sqref="U57">
      <formula1>Cocetaina</formula1>
    </dataValidation>
    <dataValidation type="list" allowBlank="1" showInputMessage="1" showErrorMessage="1" sqref="M38">
      <formula1>Xiva</formula1>
    </dataValidation>
    <dataValidation type="list" allowBlank="1" showInputMessage="1" showErrorMessage="1" sqref="AA35:AB35">
      <formula1>Puçol</formula1>
    </dataValidation>
    <dataValidation type="list" allowBlank="1" showInputMessage="1" showErrorMessage="1" sqref="AA55">
      <formula1>Dènia</formula1>
    </dataValidation>
    <dataValidation type="list" allowBlank="1" showInputMessage="1" showErrorMessage="1" sqref="AA59">
      <formula1>VilaJoiosa</formula1>
    </dataValidation>
    <dataValidation type="list" allowBlank="1" showInputMessage="1" showErrorMessage="1" sqref="W7">
      <formula1>Morella</formula1>
    </dataValidation>
    <dataValidation type="list" allowBlank="1" showInputMessage="1" showErrorMessage="1" sqref="AG17">
      <formula1>Castelló</formula1>
    </dataValidation>
    <dataValidation type="list" allowBlank="1" showInputMessage="1" showErrorMessage="1" sqref="W26">
      <formula1>Borriana</formula1>
    </dataValidation>
    <dataValidation type="list" allowBlank="1" showInputMessage="1" showErrorMessage="1" sqref="G31">
      <formula1>Requena</formula1>
    </dataValidation>
    <dataValidation type="list" allowBlank="1" showInputMessage="1" showErrorMessage="1" sqref="Q42">
      <formula1>Alzira</formula1>
    </dataValidation>
    <dataValidation type="list" allowBlank="1" showInputMessage="1" showErrorMessage="1" sqref="W42">
      <formula1>Sueca</formula1>
    </dataValidation>
    <dataValidation type="list" allowBlank="1" showInputMessage="1" showErrorMessage="1" sqref="H27">
      <formula1>Xelva</formula1>
    </dataValidation>
    <dataValidation type="list" allowBlank="1" showInputMessage="1" showErrorMessage="1" sqref="AA48">
      <formula1>Gandia</formula1>
    </dataValidation>
    <dataValidation type="list" allowBlank="1" showInputMessage="1" showErrorMessage="1" sqref="U51">
      <formula1>Ontinyent</formula1>
    </dataValidation>
    <dataValidation type="list" allowBlank="1" showInputMessage="1" showErrorMessage="1" sqref="G44">
      <formula1>Aiora</formula1>
    </dataValidation>
    <dataValidation type="list" allowBlank="1" showInputMessage="1" showErrorMessage="1" sqref="M65">
      <formula1>Elda</formula1>
    </dataValidation>
    <dataValidation type="list" allowBlank="1" showInputMessage="1" showErrorMessage="1" sqref="U37">
      <formula1>Torrent</formula1>
    </dataValidation>
    <dataValidation type="list" allowBlank="1" showInputMessage="1" showErrorMessage="1" sqref="U41">
      <formula1>Catarroja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H47"/>
  <sheetViews>
    <sheetView workbookViewId="0">
      <selection activeCell="E26" sqref="E26"/>
    </sheetView>
  </sheetViews>
  <sheetFormatPr baseColWidth="10" defaultRowHeight="15"/>
  <cols>
    <col min="5" max="5" width="18.42578125" customWidth="1"/>
    <col min="6" max="6" width="31.5703125" customWidth="1"/>
  </cols>
  <sheetData>
    <row r="1" spans="3:8">
      <c r="E1" t="s">
        <v>0</v>
      </c>
      <c r="F1" t="s">
        <v>1</v>
      </c>
      <c r="H1" s="38" t="s">
        <v>70</v>
      </c>
    </row>
    <row r="2" spans="3:8" ht="15.75">
      <c r="C2" s="11"/>
      <c r="D2" s="11"/>
      <c r="E2" t="s">
        <v>5</v>
      </c>
      <c r="F2" t="s">
        <v>6</v>
      </c>
      <c r="G2" t="s">
        <v>6</v>
      </c>
      <c r="H2" s="38" t="str">
        <f>IF(Mapa!BD111=Dades!F2,1,"")</f>
        <v/>
      </c>
    </row>
    <row r="3" spans="3:8">
      <c r="E3" t="s">
        <v>7</v>
      </c>
      <c r="F3" t="s">
        <v>8</v>
      </c>
      <c r="G3" t="s">
        <v>8</v>
      </c>
      <c r="H3" s="38" t="str">
        <f>IF(Mapa!BT50=Dades!F3,1,"")</f>
        <v/>
      </c>
    </row>
    <row r="4" spans="3:8">
      <c r="E4" t="s">
        <v>9</v>
      </c>
      <c r="F4" t="s">
        <v>10</v>
      </c>
      <c r="G4" t="s">
        <v>10</v>
      </c>
      <c r="H4" s="38" t="str">
        <f>IF(Mapa!BN$103=Dades!F4,1,IF(Mapa!BN$103=Dades!G4,1,""))</f>
        <v/>
      </c>
    </row>
    <row r="5" spans="3:8">
      <c r="E5" t="s">
        <v>11</v>
      </c>
      <c r="F5" t="s">
        <v>12</v>
      </c>
      <c r="G5" t="s">
        <v>12</v>
      </c>
      <c r="H5" s="38" t="str">
        <f ca="1">IF(Mapa!$AX$61=F5,1,IF(Mapa!$AX$61=G5,1,""))</f>
        <v/>
      </c>
    </row>
    <row r="6" spans="3:8">
      <c r="E6" t="s">
        <v>13</v>
      </c>
      <c r="F6" t="s">
        <v>14</v>
      </c>
      <c r="G6" t="s">
        <v>14</v>
      </c>
      <c r="H6" s="38" t="str">
        <f>IF(Mapa!AA53=Dades!F6,1,IF(Mapa!AA53=Dades!G6,1,""))</f>
        <v/>
      </c>
    </row>
    <row r="7" spans="3:8">
      <c r="E7" t="s">
        <v>15</v>
      </c>
      <c r="F7" t="s">
        <v>16</v>
      </c>
      <c r="G7" t="s">
        <v>16</v>
      </c>
      <c r="H7" s="38" t="str">
        <f>IF(Mapa!BJ95=Dades!F7,1,"")</f>
        <v/>
      </c>
    </row>
    <row r="8" spans="3:8">
      <c r="E8" t="s">
        <v>17</v>
      </c>
      <c r="F8" t="s">
        <v>18</v>
      </c>
      <c r="G8" t="s">
        <v>18</v>
      </c>
      <c r="H8" s="38" t="str">
        <f>IF(Mapa!BO88=Dades!F8,1,"")</f>
        <v/>
      </c>
    </row>
    <row r="9" spans="3:8">
      <c r="E9" t="s">
        <v>19</v>
      </c>
      <c r="F9" t="s">
        <v>20</v>
      </c>
      <c r="G9" t="s">
        <v>20</v>
      </c>
      <c r="H9" s="38" t="str">
        <f>IF(Mapa!AV118=Dades!F9,1,"")</f>
        <v/>
      </c>
    </row>
    <row r="10" spans="3:8">
      <c r="E10" t="s">
        <v>21</v>
      </c>
      <c r="F10" t="s">
        <v>22</v>
      </c>
      <c r="G10" t="s">
        <v>22</v>
      </c>
      <c r="H10" s="38" t="str">
        <f>IF(Mapa!AC132=Dades!F10,1,"")</f>
        <v/>
      </c>
    </row>
    <row r="11" spans="3:8">
      <c r="E11" t="s">
        <v>68</v>
      </c>
      <c r="F11" t="s">
        <v>23</v>
      </c>
      <c r="G11" t="s">
        <v>23</v>
      </c>
      <c r="H11" s="38" t="e">
        <f>IF(Mapa!#REF!=Dades!F11,1,"")</f>
        <v>#REF!</v>
      </c>
    </row>
    <row r="12" spans="3:8">
      <c r="E12" t="s">
        <v>24</v>
      </c>
      <c r="F12" t="s">
        <v>25</v>
      </c>
      <c r="G12" t="s">
        <v>25</v>
      </c>
      <c r="H12" s="38" t="e">
        <f>IF(Mapa!#REF!=Dades!F12,1,"")</f>
        <v>#REF!</v>
      </c>
    </row>
    <row r="13" spans="3:8">
      <c r="E13" t="s">
        <v>26</v>
      </c>
      <c r="F13" t="s">
        <v>27</v>
      </c>
      <c r="G13" t="s">
        <v>27</v>
      </c>
      <c r="H13" s="38" t="str">
        <f>IF(Mapa!BO112=Dades!F13,1,IF(Mapa!BO112=Dades!G13,1,""))</f>
        <v/>
      </c>
    </row>
    <row r="14" spans="3:8">
      <c r="E14" t="s">
        <v>115</v>
      </c>
      <c r="F14" t="s">
        <v>29</v>
      </c>
      <c r="G14" t="s">
        <v>29</v>
      </c>
      <c r="H14" s="38"/>
    </row>
    <row r="15" spans="3:8">
      <c r="E15" t="s">
        <v>116</v>
      </c>
      <c r="F15" t="s">
        <v>31</v>
      </c>
      <c r="G15" t="s">
        <v>31</v>
      </c>
      <c r="H15" s="38" t="str">
        <f>IF(Mapa!BN67=Dades!F15,1,"")</f>
        <v/>
      </c>
    </row>
    <row r="16" spans="3:8">
      <c r="E16" t="s">
        <v>32</v>
      </c>
      <c r="F16" t="s">
        <v>33</v>
      </c>
      <c r="G16" t="s">
        <v>33</v>
      </c>
      <c r="H16" s="38" t="str">
        <f>IF(Mapa!BM48=Dades!F16,1,IF(Mapa!BM48=Dades!G16,1,""))</f>
        <v/>
      </c>
    </row>
    <row r="17" spans="5:8">
      <c r="E17" t="s">
        <v>34</v>
      </c>
      <c r="F17" t="s">
        <v>35</v>
      </c>
      <c r="G17" t="s">
        <v>35</v>
      </c>
      <c r="H17" s="38" t="str">
        <f>IF(Mapa!AW109=Dades!F17,1,"")</f>
        <v/>
      </c>
    </row>
    <row r="18" spans="5:8">
      <c r="E18" t="s">
        <v>36</v>
      </c>
      <c r="F18" t="s">
        <v>37</v>
      </c>
      <c r="G18" t="s">
        <v>37</v>
      </c>
      <c r="H18" s="38" t="e">
        <f>IF(Mapa!#REF!=Dades!F18,1,IF(Mapa!#REF!=Dades!G18,1,""))</f>
        <v>#REF!</v>
      </c>
    </row>
    <row r="19" spans="5:8">
      <c r="E19" t="s">
        <v>38</v>
      </c>
      <c r="F19" t="s">
        <v>39</v>
      </c>
      <c r="G19" t="s">
        <v>39</v>
      </c>
      <c r="H19" s="38" t="str">
        <f>IF(Mapa!AM108=Dades!F19,1,IF(Mapa!AM108=Dades!G19,1,""))</f>
        <v/>
      </c>
    </row>
    <row r="20" spans="5:8">
      <c r="E20" t="s">
        <v>40</v>
      </c>
      <c r="F20" t="s">
        <v>41</v>
      </c>
      <c r="G20" t="s">
        <v>41</v>
      </c>
      <c r="H20" s="38" t="e">
        <f>IF(Mapa!#REF!=Dades!F20,1,"")</f>
        <v>#REF!</v>
      </c>
    </row>
    <row r="21" spans="5:8">
      <c r="E21" t="s">
        <v>42</v>
      </c>
      <c r="F21" t="s">
        <v>43</v>
      </c>
      <c r="G21" t="s">
        <v>43</v>
      </c>
      <c r="H21" s="38" t="str">
        <f>IF(Mapa!BV78=Dades!F21,1,"")</f>
        <v/>
      </c>
    </row>
    <row r="22" spans="5:8">
      <c r="E22" t="s">
        <v>44</v>
      </c>
      <c r="F22" t="s">
        <v>45</v>
      </c>
      <c r="G22" t="s">
        <v>45</v>
      </c>
      <c r="H22" s="38"/>
    </row>
    <row r="23" spans="5:8">
      <c r="E23" t="s">
        <v>46</v>
      </c>
      <c r="F23" t="s">
        <v>47</v>
      </c>
      <c r="G23" t="s">
        <v>47</v>
      </c>
      <c r="H23" s="38" t="e">
        <f>IF(Mapa!#REF!=Dades!F23,1,IF(Mapa!#REF!=Dades!G23,1,""))</f>
        <v>#REF!</v>
      </c>
    </row>
    <row r="24" spans="5:8">
      <c r="E24" t="s">
        <v>48</v>
      </c>
      <c r="F24" t="s">
        <v>49</v>
      </c>
      <c r="G24" t="s">
        <v>49</v>
      </c>
      <c r="H24" s="38" t="e">
        <f>IF(Mapa!AK138=Dades!F24,1,IF(Mapa!#REF!=Dades!G23,1,""))</f>
        <v>#REF!</v>
      </c>
    </row>
    <row r="25" spans="5:8">
      <c r="E25" t="s">
        <v>118</v>
      </c>
      <c r="F25" t="s">
        <v>51</v>
      </c>
      <c r="G25" t="s">
        <v>51</v>
      </c>
      <c r="H25" s="38" t="str">
        <f>IF(Mapa!AK90=Dades!F25,1,"")</f>
        <v/>
      </c>
    </row>
    <row r="26" spans="5:8">
      <c r="E26" t="s">
        <v>52</v>
      </c>
      <c r="F26" t="s">
        <v>53</v>
      </c>
      <c r="G26" t="s">
        <v>53</v>
      </c>
      <c r="H26" s="38" t="e">
        <f>IF(Mapa!#REF!=Dades!F26,1,"")</f>
        <v>#REF!</v>
      </c>
    </row>
    <row r="27" spans="5:8">
      <c r="E27" t="s">
        <v>54</v>
      </c>
      <c r="F27" t="s">
        <v>113</v>
      </c>
      <c r="G27" t="s">
        <v>55</v>
      </c>
      <c r="H27" s="38" t="str">
        <f>IF(Mapa!AM72=Dades!F27,1,"")</f>
        <v/>
      </c>
    </row>
    <row r="28" spans="5:8">
      <c r="E28" t="s">
        <v>56</v>
      </c>
      <c r="F28" t="s">
        <v>57</v>
      </c>
      <c r="G28" t="s">
        <v>57</v>
      </c>
      <c r="H28" s="38" t="str">
        <f>IF(Mapa!AS51=Dades!F28,1,"")</f>
        <v/>
      </c>
    </row>
    <row r="29" spans="5:8">
      <c r="E29" t="s">
        <v>58</v>
      </c>
      <c r="F29" t="s">
        <v>59</v>
      </c>
      <c r="G29" t="s">
        <v>59</v>
      </c>
      <c r="H29" s="38" t="str">
        <f>IF(Mapa!AR99=Dades!F29,1,"")</f>
        <v/>
      </c>
    </row>
    <row r="30" spans="5:8">
      <c r="E30" t="s">
        <v>60</v>
      </c>
      <c r="F30" t="s">
        <v>61</v>
      </c>
      <c r="G30" t="s">
        <v>61</v>
      </c>
      <c r="H30" s="38" t="str">
        <f>IF(Mapa!BU65=Dades!F30,1,"")</f>
        <v/>
      </c>
    </row>
    <row r="31" spans="5:8">
      <c r="E31" t="s">
        <v>62</v>
      </c>
      <c r="F31" t="s">
        <v>62</v>
      </c>
      <c r="G31" t="s">
        <v>62</v>
      </c>
      <c r="H31" s="38" t="str">
        <f>IF(Mapa!AQ117=Dades!F31,1,"")</f>
        <v/>
      </c>
    </row>
    <row r="32" spans="5:8">
      <c r="E32" t="s">
        <v>63</v>
      </c>
      <c r="F32" t="s">
        <v>64</v>
      </c>
      <c r="G32" t="s">
        <v>64</v>
      </c>
      <c r="H32" s="38" t="str">
        <f>IF(Mapa!AC119=Dades!F32,1,IF(Mapa!AC119=Dades!G32,1,""))</f>
        <v/>
      </c>
    </row>
    <row r="33" spans="5:8">
      <c r="E33" t="s">
        <v>117</v>
      </c>
      <c r="F33" t="s">
        <v>66</v>
      </c>
      <c r="G33" t="s">
        <v>66</v>
      </c>
      <c r="H33" s="38" t="e">
        <f>IF(Mapa!#REF!=Dades!F33,1,"")</f>
        <v>#REF!</v>
      </c>
    </row>
    <row r="34" spans="5:8">
      <c r="E34" t="s">
        <v>69</v>
      </c>
      <c r="F34" t="s">
        <v>67</v>
      </c>
      <c r="G34" t="s">
        <v>67</v>
      </c>
      <c r="H34" s="38" t="str">
        <f>IF(Mapa!BC98=Dades!F34,1,"")</f>
        <v/>
      </c>
    </row>
    <row r="35" spans="5:8">
      <c r="E35" s="177" t="s">
        <v>78</v>
      </c>
      <c r="F35" s="178" t="s">
        <v>39</v>
      </c>
      <c r="G35" s="177"/>
      <c r="H35" s="38"/>
    </row>
    <row r="36" spans="5:8" ht="15.75">
      <c r="E36" s="131"/>
      <c r="F36" s="132"/>
      <c r="H36" s="38"/>
    </row>
    <row r="37" spans="5:8" ht="15.75">
      <c r="E37" s="131"/>
      <c r="F37" s="132"/>
      <c r="H37" s="38"/>
    </row>
    <row r="38" spans="5:8" ht="15.75">
      <c r="E38" s="131"/>
      <c r="F38" s="132"/>
      <c r="H38" s="38"/>
    </row>
    <row r="39" spans="5:8" ht="15.75">
      <c r="E39" s="131"/>
      <c r="F39" s="132"/>
      <c r="H39" s="38"/>
    </row>
    <row r="40" spans="5:8" ht="15.75">
      <c r="E40" s="131"/>
      <c r="F40" s="132"/>
      <c r="H40" s="38"/>
    </row>
    <row r="41" spans="5:8" ht="15.75">
      <c r="E41" s="131"/>
      <c r="F41" s="132"/>
      <c r="H41" s="38"/>
    </row>
    <row r="42" spans="5:8" ht="15.75">
      <c r="E42" s="131"/>
      <c r="F42" s="132"/>
      <c r="H42" s="38"/>
    </row>
    <row r="43" spans="5:8" ht="15.75">
      <c r="E43" s="131"/>
      <c r="F43" s="132"/>
      <c r="H43" s="38"/>
    </row>
    <row r="44" spans="5:8">
      <c r="H44" s="38"/>
    </row>
    <row r="45" spans="5:8">
      <c r="H45" s="38"/>
    </row>
    <row r="46" spans="5:8">
      <c r="H46" s="38"/>
    </row>
    <row r="47" spans="5:8">
      <c r="H47" s="3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E34"/>
    </sheetView>
  </sheetViews>
  <sheetFormatPr baseColWidth="10" defaultRowHeight="15"/>
  <cols>
    <col min="1" max="1" width="27" bestFit="1" customWidth="1"/>
    <col min="2" max="2" width="22.85546875" customWidth="1"/>
    <col min="3" max="3" width="9.28515625" customWidth="1"/>
    <col min="4" max="4" width="27" bestFit="1" customWidth="1"/>
    <col min="5" max="5" width="19" customWidth="1"/>
  </cols>
  <sheetData>
    <row r="1" spans="1:5" ht="10.5" customHeight="1">
      <c r="A1" s="190" t="s">
        <v>114</v>
      </c>
      <c r="B1" s="190" t="s">
        <v>6</v>
      </c>
      <c r="C1" s="191">
        <v>1</v>
      </c>
      <c r="D1" s="190" t="s">
        <v>44</v>
      </c>
      <c r="E1" s="190" t="s">
        <v>45</v>
      </c>
    </row>
    <row r="2" spans="1:5">
      <c r="A2" s="190" t="s">
        <v>7</v>
      </c>
      <c r="B2" s="190" t="s">
        <v>8</v>
      </c>
      <c r="C2" s="191">
        <f>C1+1</f>
        <v>2</v>
      </c>
      <c r="D2" s="190" t="s">
        <v>19</v>
      </c>
      <c r="E2" s="190" t="s">
        <v>20</v>
      </c>
    </row>
    <row r="3" spans="1:5">
      <c r="A3" s="190" t="s">
        <v>9</v>
      </c>
      <c r="B3" s="190" t="s">
        <v>10</v>
      </c>
      <c r="C3" s="191">
        <f t="shared" ref="C3:C34" si="0">C2+1</f>
        <v>3</v>
      </c>
      <c r="D3" s="190" t="s">
        <v>11</v>
      </c>
      <c r="E3" s="190" t="s">
        <v>12</v>
      </c>
    </row>
    <row r="4" spans="1:5">
      <c r="A4" s="190" t="s">
        <v>11</v>
      </c>
      <c r="B4" s="190" t="s">
        <v>12</v>
      </c>
      <c r="C4" s="191">
        <f t="shared" si="0"/>
        <v>4</v>
      </c>
      <c r="D4" s="190" t="s">
        <v>9</v>
      </c>
      <c r="E4" s="190" t="s">
        <v>10</v>
      </c>
    </row>
    <row r="5" spans="1:5">
      <c r="A5" s="190" t="s">
        <v>13</v>
      </c>
      <c r="B5" s="190" t="s">
        <v>14</v>
      </c>
      <c r="C5" s="191">
        <f t="shared" si="0"/>
        <v>5</v>
      </c>
      <c r="D5" s="190" t="s">
        <v>46</v>
      </c>
      <c r="E5" s="190" t="s">
        <v>47</v>
      </c>
    </row>
    <row r="6" spans="1:5">
      <c r="A6" s="190" t="s">
        <v>15</v>
      </c>
      <c r="B6" s="190" t="s">
        <v>16</v>
      </c>
      <c r="C6" s="191">
        <f t="shared" si="0"/>
        <v>6</v>
      </c>
      <c r="D6" s="190" t="s">
        <v>13</v>
      </c>
      <c r="E6" s="190" t="s">
        <v>14</v>
      </c>
    </row>
    <row r="7" spans="1:5">
      <c r="A7" s="190" t="s">
        <v>17</v>
      </c>
      <c r="B7" s="190" t="s">
        <v>18</v>
      </c>
      <c r="C7" s="191">
        <f t="shared" si="0"/>
        <v>7</v>
      </c>
      <c r="D7" s="190" t="s">
        <v>52</v>
      </c>
      <c r="E7" s="190" t="s">
        <v>53</v>
      </c>
    </row>
    <row r="8" spans="1:5">
      <c r="A8" s="190" t="s">
        <v>19</v>
      </c>
      <c r="B8" s="190" t="s">
        <v>20</v>
      </c>
      <c r="C8" s="191">
        <f t="shared" si="0"/>
        <v>8</v>
      </c>
      <c r="D8" s="190" t="s">
        <v>48</v>
      </c>
      <c r="E8" s="190" t="s">
        <v>49</v>
      </c>
    </row>
    <row r="9" spans="1:5">
      <c r="A9" s="190" t="s">
        <v>21</v>
      </c>
      <c r="B9" s="190" t="s">
        <v>22</v>
      </c>
      <c r="C9" s="191">
        <f t="shared" si="0"/>
        <v>9</v>
      </c>
      <c r="D9" s="190" t="s">
        <v>15</v>
      </c>
      <c r="E9" s="190" t="s">
        <v>16</v>
      </c>
    </row>
    <row r="10" spans="1:5">
      <c r="A10" s="190" t="s">
        <v>68</v>
      </c>
      <c r="B10" s="190" t="s">
        <v>23</v>
      </c>
      <c r="C10" s="191">
        <f t="shared" si="0"/>
        <v>10</v>
      </c>
      <c r="D10" s="190" t="s">
        <v>58</v>
      </c>
      <c r="E10" s="190" t="s">
        <v>59</v>
      </c>
    </row>
    <row r="11" spans="1:5">
      <c r="A11" s="190" t="s">
        <v>24</v>
      </c>
      <c r="B11" s="190" t="s">
        <v>25</v>
      </c>
      <c r="C11" s="191">
        <f t="shared" si="0"/>
        <v>11</v>
      </c>
      <c r="D11" s="190" t="s">
        <v>24</v>
      </c>
      <c r="E11" s="190" t="s">
        <v>25</v>
      </c>
    </row>
    <row r="12" spans="1:5">
      <c r="A12" s="190" t="s">
        <v>26</v>
      </c>
      <c r="B12" s="190" t="s">
        <v>27</v>
      </c>
      <c r="C12" s="191">
        <f t="shared" si="0"/>
        <v>12</v>
      </c>
      <c r="D12" s="190" t="s">
        <v>26</v>
      </c>
      <c r="E12" s="190" t="s">
        <v>27</v>
      </c>
    </row>
    <row r="13" spans="1:5">
      <c r="A13" s="190" t="s">
        <v>28</v>
      </c>
      <c r="B13" s="190" t="s">
        <v>29</v>
      </c>
      <c r="C13" s="191">
        <f t="shared" si="0"/>
        <v>13</v>
      </c>
      <c r="D13" s="190" t="s">
        <v>36</v>
      </c>
      <c r="E13" s="190" t="s">
        <v>37</v>
      </c>
    </row>
    <row r="14" spans="1:5">
      <c r="A14" s="190" t="s">
        <v>30</v>
      </c>
      <c r="B14" s="190" t="s">
        <v>31</v>
      </c>
      <c r="C14" s="191">
        <f t="shared" si="0"/>
        <v>14</v>
      </c>
      <c r="D14" s="190" t="s">
        <v>50</v>
      </c>
      <c r="E14" s="190" t="s">
        <v>51</v>
      </c>
    </row>
    <row r="15" spans="1:5">
      <c r="A15" s="190" t="s">
        <v>32</v>
      </c>
      <c r="B15" s="190" t="s">
        <v>33</v>
      </c>
      <c r="C15" s="191">
        <f t="shared" si="0"/>
        <v>15</v>
      </c>
      <c r="D15" s="190" t="s">
        <v>78</v>
      </c>
      <c r="E15" s="190" t="s">
        <v>39</v>
      </c>
    </row>
    <row r="16" spans="1:5">
      <c r="A16" s="190" t="s">
        <v>34</v>
      </c>
      <c r="B16" s="190" t="s">
        <v>35</v>
      </c>
      <c r="C16" s="191">
        <f t="shared" si="0"/>
        <v>16</v>
      </c>
      <c r="D16" s="190" t="s">
        <v>34</v>
      </c>
      <c r="E16" s="190" t="s">
        <v>35</v>
      </c>
    </row>
    <row r="17" spans="1:5">
      <c r="A17" s="190" t="s">
        <v>36</v>
      </c>
      <c r="B17" s="190" t="s">
        <v>37</v>
      </c>
      <c r="C17" s="191">
        <f t="shared" si="0"/>
        <v>17</v>
      </c>
      <c r="D17" s="190" t="s">
        <v>38</v>
      </c>
      <c r="E17" s="190" t="s">
        <v>111</v>
      </c>
    </row>
    <row r="18" spans="1:5">
      <c r="A18" s="190" t="s">
        <v>78</v>
      </c>
      <c r="B18" s="190" t="s">
        <v>39</v>
      </c>
      <c r="C18" s="191">
        <f t="shared" si="0"/>
        <v>18</v>
      </c>
      <c r="D18" s="190" t="s">
        <v>62</v>
      </c>
      <c r="E18" s="190" t="s">
        <v>62</v>
      </c>
    </row>
    <row r="19" spans="1:5">
      <c r="A19" s="190" t="s">
        <v>38</v>
      </c>
      <c r="B19" s="190" t="s">
        <v>111</v>
      </c>
      <c r="C19" s="191">
        <f t="shared" si="0"/>
        <v>19</v>
      </c>
      <c r="D19" s="190" t="s">
        <v>56</v>
      </c>
      <c r="E19" s="190" t="s">
        <v>57</v>
      </c>
    </row>
    <row r="20" spans="1:5">
      <c r="A20" s="190" t="s">
        <v>40</v>
      </c>
      <c r="B20" s="190" t="s">
        <v>41</v>
      </c>
      <c r="C20" s="191">
        <f t="shared" si="0"/>
        <v>20</v>
      </c>
      <c r="D20" s="190" t="s">
        <v>54</v>
      </c>
      <c r="E20" s="190" t="s">
        <v>112</v>
      </c>
    </row>
    <row r="21" spans="1:5">
      <c r="A21" s="190" t="s">
        <v>42</v>
      </c>
      <c r="B21" s="190" t="s">
        <v>43</v>
      </c>
      <c r="C21" s="191">
        <f t="shared" si="0"/>
        <v>21</v>
      </c>
      <c r="D21" s="190" t="s">
        <v>65</v>
      </c>
      <c r="E21" s="190" t="s">
        <v>66</v>
      </c>
    </row>
    <row r="22" spans="1:5">
      <c r="A22" s="190" t="s">
        <v>44</v>
      </c>
      <c r="B22" s="190" t="s">
        <v>45</v>
      </c>
      <c r="C22" s="191">
        <f t="shared" si="0"/>
        <v>22</v>
      </c>
      <c r="D22" s="190" t="s">
        <v>28</v>
      </c>
      <c r="E22" s="190" t="s">
        <v>29</v>
      </c>
    </row>
    <row r="23" spans="1:5">
      <c r="A23" s="190" t="s">
        <v>46</v>
      </c>
      <c r="B23" s="190" t="s">
        <v>47</v>
      </c>
      <c r="C23" s="191">
        <f t="shared" si="0"/>
        <v>23</v>
      </c>
      <c r="D23" s="190" t="s">
        <v>60</v>
      </c>
      <c r="E23" s="190" t="s">
        <v>61</v>
      </c>
    </row>
    <row r="24" spans="1:5">
      <c r="A24" s="190" t="s">
        <v>48</v>
      </c>
      <c r="B24" s="190" t="s">
        <v>49</v>
      </c>
      <c r="C24" s="191">
        <f t="shared" si="0"/>
        <v>24</v>
      </c>
      <c r="D24" s="190" t="s">
        <v>32</v>
      </c>
      <c r="E24" s="190" t="s">
        <v>33</v>
      </c>
    </row>
    <row r="25" spans="1:5">
      <c r="A25" s="190" t="s">
        <v>50</v>
      </c>
      <c r="B25" s="190" t="s">
        <v>51</v>
      </c>
      <c r="C25" s="191">
        <f t="shared" si="0"/>
        <v>25</v>
      </c>
      <c r="D25" s="190" t="s">
        <v>63</v>
      </c>
      <c r="E25" s="190" t="s">
        <v>64</v>
      </c>
    </row>
    <row r="26" spans="1:5">
      <c r="A26" s="190" t="s">
        <v>52</v>
      </c>
      <c r="B26" s="190" t="s">
        <v>53</v>
      </c>
      <c r="C26" s="191">
        <f t="shared" si="0"/>
        <v>26</v>
      </c>
      <c r="D26" s="190" t="s">
        <v>40</v>
      </c>
      <c r="E26" s="190" t="s">
        <v>41</v>
      </c>
    </row>
    <row r="27" spans="1:5">
      <c r="A27" s="190" t="s">
        <v>54</v>
      </c>
      <c r="B27" s="190" t="s">
        <v>112</v>
      </c>
      <c r="C27" s="191">
        <f t="shared" si="0"/>
        <v>27</v>
      </c>
      <c r="D27" s="190" t="s">
        <v>30</v>
      </c>
      <c r="E27" s="190" t="s">
        <v>31</v>
      </c>
    </row>
    <row r="28" spans="1:5">
      <c r="A28" s="190" t="s">
        <v>56</v>
      </c>
      <c r="B28" s="190" t="s">
        <v>57</v>
      </c>
      <c r="C28" s="191">
        <f t="shared" si="0"/>
        <v>28</v>
      </c>
      <c r="D28" s="190" t="s">
        <v>17</v>
      </c>
      <c r="E28" s="190" t="s">
        <v>18</v>
      </c>
    </row>
    <row r="29" spans="1:5">
      <c r="A29" s="190" t="s">
        <v>58</v>
      </c>
      <c r="B29" s="190" t="s">
        <v>59</v>
      </c>
      <c r="C29" s="191">
        <f t="shared" si="0"/>
        <v>29</v>
      </c>
      <c r="D29" s="190" t="s">
        <v>7</v>
      </c>
      <c r="E29" s="190" t="s">
        <v>8</v>
      </c>
    </row>
    <row r="30" spans="1:5">
      <c r="A30" s="190" t="s">
        <v>60</v>
      </c>
      <c r="B30" s="190" t="s">
        <v>61</v>
      </c>
      <c r="C30" s="191">
        <f t="shared" si="0"/>
        <v>30</v>
      </c>
      <c r="D30" s="190" t="s">
        <v>42</v>
      </c>
      <c r="E30" s="190" t="s">
        <v>43</v>
      </c>
    </row>
    <row r="31" spans="1:5">
      <c r="A31" s="190" t="s">
        <v>62</v>
      </c>
      <c r="B31" s="190" t="s">
        <v>62</v>
      </c>
      <c r="C31" s="191">
        <f t="shared" si="0"/>
        <v>31</v>
      </c>
      <c r="D31" s="190" t="s">
        <v>5</v>
      </c>
      <c r="E31" s="190" t="s">
        <v>6</v>
      </c>
    </row>
    <row r="32" spans="1:5">
      <c r="A32" s="190" t="s">
        <v>63</v>
      </c>
      <c r="B32" s="190" t="s">
        <v>64</v>
      </c>
      <c r="C32" s="191">
        <f t="shared" si="0"/>
        <v>32</v>
      </c>
      <c r="D32" s="190" t="s">
        <v>69</v>
      </c>
      <c r="E32" s="190" t="s">
        <v>67</v>
      </c>
    </row>
    <row r="33" spans="1:5">
      <c r="A33" s="190" t="s">
        <v>65</v>
      </c>
      <c r="B33" s="190" t="s">
        <v>66</v>
      </c>
      <c r="C33" s="191">
        <f t="shared" si="0"/>
        <v>33</v>
      </c>
      <c r="D33" s="190" t="s">
        <v>68</v>
      </c>
      <c r="E33" s="190" t="s">
        <v>23</v>
      </c>
    </row>
    <row r="34" spans="1:5">
      <c r="A34" s="190" t="s">
        <v>69</v>
      </c>
      <c r="B34" s="190" t="s">
        <v>67</v>
      </c>
      <c r="C34" s="191">
        <f t="shared" si="0"/>
        <v>34</v>
      </c>
      <c r="D34" s="190" t="s">
        <v>21</v>
      </c>
      <c r="E34" s="190" t="s">
        <v>22</v>
      </c>
    </row>
  </sheetData>
  <pageMargins left="0.70866141732283472" right="0.70866141732283472" top="0.74803149606299213" bottom="0.35433070866141736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35</vt:i4>
      </vt:variant>
    </vt:vector>
  </HeadingPairs>
  <TitlesOfParts>
    <vt:vector size="38" baseType="lpstr">
      <vt:lpstr>Mapa</vt:lpstr>
      <vt:lpstr>Dades</vt:lpstr>
      <vt:lpstr>Capitals</vt:lpstr>
      <vt:lpstr>Ademús</vt:lpstr>
      <vt:lpstr>Aiora</vt:lpstr>
      <vt:lpstr>Alacant</vt:lpstr>
      <vt:lpstr>Albocàsser</vt:lpstr>
      <vt:lpstr>Alcoi</vt:lpstr>
      <vt:lpstr>Alcorà</vt:lpstr>
      <vt:lpstr>Alzira</vt:lpstr>
      <vt:lpstr>Borriana</vt:lpstr>
      <vt:lpstr>Castelló</vt:lpstr>
      <vt:lpstr>Catarroja</vt:lpstr>
      <vt:lpstr>Cirat</vt:lpstr>
      <vt:lpstr>Cocetaina</vt:lpstr>
      <vt:lpstr>Dènia</vt:lpstr>
      <vt:lpstr>Elda</vt:lpstr>
      <vt:lpstr>Elx</vt:lpstr>
      <vt:lpstr>Gandia</vt:lpstr>
      <vt:lpstr>LA_CANAL_NAVARRÉS</vt:lpstr>
      <vt:lpstr>LACANALNAVARRÉS</vt:lpstr>
      <vt:lpstr>Llíria</vt:lpstr>
      <vt:lpstr>Morella</vt:lpstr>
      <vt:lpstr>Ontinyent</vt:lpstr>
      <vt:lpstr>Oriola</vt:lpstr>
      <vt:lpstr>Puçol</vt:lpstr>
      <vt:lpstr>Requena</vt:lpstr>
      <vt:lpstr>Sagunt</vt:lpstr>
      <vt:lpstr>Sogorb</vt:lpstr>
      <vt:lpstr>Sueca</vt:lpstr>
      <vt:lpstr>Torrent</vt:lpstr>
      <vt:lpstr>Valen</vt:lpstr>
      <vt:lpstr>VilaJoiosa</vt:lpstr>
      <vt:lpstr>Villena</vt:lpstr>
      <vt:lpstr>Vinaròs</vt:lpstr>
      <vt:lpstr>Xàtiva</vt:lpstr>
      <vt:lpstr>Xelva</vt:lpstr>
      <vt:lpstr>Xiva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cp:lastPrinted>2019-07-28T16:47:07Z</cp:lastPrinted>
  <dcterms:created xsi:type="dcterms:W3CDTF">2017-08-27T10:48:59Z</dcterms:created>
  <dcterms:modified xsi:type="dcterms:W3CDTF">2019-11-22T16:56:23Z</dcterms:modified>
</cp:coreProperties>
</file>